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Q:\Kot\P455\P45501_PIRELY_kohteet_2022\C_suunnittelu\C2_tyo\P022 Kehityshanke\Työkansio\"/>
    </mc:Choice>
  </mc:AlternateContent>
  <xr:revisionPtr revIDLastSave="0" documentId="13_ncr:1_{02BF2FB0-ED9A-4C41-B26D-7DAE07D54C14}" xr6:coauthVersionLast="47" xr6:coauthVersionMax="47" xr10:uidLastSave="{00000000-0000-0000-0000-000000000000}"/>
  <bookViews>
    <workbookView xWindow="11340" yWindow="0" windowWidth="46215" windowHeight="23400" xr2:uid="{F46F5C23-9348-410A-8F25-6B8B4FA3E8AA}"/>
  </bookViews>
  <sheets>
    <sheet name="Ohje ja esittely" sheetId="18" r:id="rId1"/>
    <sheet name="Kohdetiedot ja yhteenveto" sheetId="28" r:id="rId2"/>
    <sheet name="Massanvaihto ja aumakäsittely" sheetId="9" r:id="rId3"/>
    <sheet name="Eristäminen" sheetId="24" r:id="rId4"/>
    <sheet name="Injektoinnit" sheetId="23" r:id="rId5"/>
    <sheet name="Termiset menetelmät" sheetId="22" r:id="rId6"/>
    <sheet name="Huokosilmakäsittely" sheetId="21" r:id="rId7"/>
    <sheet name="Fytoremediaatio" sheetId="25" r:id="rId8"/>
    <sheet name="Luontaisen hajoamisen seuranta" sheetId="26" r:id="rId9"/>
    <sheet name="Materiaalit" sheetId="17" r:id="rId10"/>
    <sheet name="Kalusto" sheetId="16" r:id="rId11"/>
    <sheet name="Muut" sheetId="20" r:id="rId12"/>
    <sheet name="Pudotusvalikot" sheetId="19" r:id="rId13"/>
    <sheet name="Versiohistoria" sheetId="29" r:id="rId14"/>
  </sheets>
  <definedNames>
    <definedName name="_xlnm.Print_Area" localSheetId="3">Eristäminen!$B$2:$H$329</definedName>
    <definedName name="_xlnm.Print_Area" localSheetId="7">Fytoremediaatio!$B$2:$H$304</definedName>
    <definedName name="_xlnm.Print_Area" localSheetId="6">Huokosilmakäsittely!$B$2:$H$333</definedName>
    <definedName name="_xlnm.Print_Area" localSheetId="4">Injektoinnit!$B$1:$H$336</definedName>
    <definedName name="_xlnm.Print_Area" localSheetId="10">Kalusto!$B$2:$V$110</definedName>
    <definedName name="_xlnm.Print_Area" localSheetId="1">'Kohdetiedot ja yhteenveto'!$B$2:$S$55</definedName>
    <definedName name="_xlnm.Print_Area" localSheetId="8">'Luontaisen hajoamisen seuranta'!$B$2:$H$13</definedName>
    <definedName name="_xlnm.Print_Area" localSheetId="2">'Massanvaihto ja aumakäsittely'!$B$2:$H$455</definedName>
    <definedName name="_xlnm.Print_Area" localSheetId="9">Materiaalit!$B$2:$N$124</definedName>
    <definedName name="_xlnm.Print_Area" localSheetId="12">Pudotusvalikot!$A$1:$D$106,Pudotusvalikot!$E$1:$X$30</definedName>
    <definedName name="_xlnm.Print_Area" localSheetId="5">'Termiset menetelmät'!$B$2:$H$324</definedName>
    <definedName name="_xlnm.Print_Titles" localSheetId="3">Eristäminen!$2:$2</definedName>
    <definedName name="_xlnm.Print_Titles" localSheetId="7">Fytoremediaatio!$2:$2</definedName>
    <definedName name="_xlnm.Print_Titles" localSheetId="6">Huokosilmakäsittely!$2:$2</definedName>
    <definedName name="_xlnm.Print_Titles" localSheetId="8">'Luontaisen hajoamisen seuranta'!$2:$2</definedName>
    <definedName name="_xlnm.Print_Titles" localSheetId="2">'Massanvaihto ja aumakäsittely'!$2:$2</definedName>
    <definedName name="_xlnm.Print_Titles" localSheetId="5">'Termiset menetelmät'!$2:$2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5" i="25" l="1"/>
  <c r="R183" i="25"/>
  <c r="R179" i="25"/>
  <c r="R177" i="25"/>
  <c r="R175" i="25"/>
  <c r="R169" i="25"/>
  <c r="R167" i="25"/>
  <c r="R161" i="25"/>
  <c r="R151" i="25"/>
  <c r="R147" i="25"/>
  <c r="R185" i="21"/>
  <c r="R183" i="21"/>
  <c r="R180" i="21"/>
  <c r="R179" i="21"/>
  <c r="R151" i="21"/>
  <c r="R190" i="22"/>
  <c r="C126" i="23"/>
  <c r="C124" i="9"/>
  <c r="K224" i="23"/>
  <c r="C125" i="22"/>
  <c r="R175" i="22"/>
  <c r="R178" i="22"/>
  <c r="R186" i="22"/>
  <c r="R158" i="22"/>
  <c r="R155" i="22"/>
  <c r="R160" i="23"/>
  <c r="R159" i="23"/>
  <c r="R193" i="23"/>
  <c r="R192" i="23"/>
  <c r="R191" i="23"/>
  <c r="R187" i="23"/>
  <c r="R167" i="23"/>
  <c r="R161" i="23"/>
  <c r="R155" i="23"/>
  <c r="K159" i="23"/>
  <c r="K156" i="23"/>
  <c r="K30" i="25"/>
  <c r="K160" i="23"/>
  <c r="K161" i="23"/>
  <c r="K30" i="21"/>
  <c r="K30" i="22"/>
  <c r="K31" i="23"/>
  <c r="K30" i="24"/>
  <c r="K30" i="9"/>
  <c r="K47" i="24"/>
  <c r="R186" i="24"/>
  <c r="R187" i="24"/>
  <c r="R190" i="24"/>
  <c r="R158" i="24"/>
  <c r="K360" i="9"/>
  <c r="K423" i="9"/>
  <c r="R341" i="9"/>
  <c r="R340" i="9"/>
  <c r="R339" i="9"/>
  <c r="R333" i="9"/>
  <c r="R332" i="9"/>
  <c r="R331" i="9"/>
  <c r="R325" i="9"/>
  <c r="R324" i="9"/>
  <c r="R323" i="9"/>
  <c r="R317" i="9"/>
  <c r="R316" i="9"/>
  <c r="R315" i="9"/>
  <c r="R309" i="9"/>
  <c r="R308" i="9"/>
  <c r="R307" i="9"/>
  <c r="R303" i="9"/>
  <c r="X305" i="9"/>
  <c r="Y305" i="9"/>
  <c r="R304" i="9" s="1"/>
  <c r="R247" i="9"/>
  <c r="R246" i="9"/>
  <c r="R245" i="9"/>
  <c r="R239" i="9"/>
  <c r="R238" i="9"/>
  <c r="R237" i="9"/>
  <c r="R233" i="9"/>
  <c r="R234" i="9"/>
  <c r="R231" i="9"/>
  <c r="R230" i="9"/>
  <c r="R229" i="9"/>
  <c r="R223" i="9"/>
  <c r="R222" i="9"/>
  <c r="R221" i="9"/>
  <c r="R215" i="9"/>
  <c r="R214" i="9"/>
  <c r="R213" i="9"/>
  <c r="R217" i="9"/>
  <c r="R209" i="9"/>
  <c r="R210" i="9"/>
  <c r="R160" i="24"/>
  <c r="R159" i="24"/>
  <c r="R174" i="24"/>
  <c r="K210" i="9"/>
  <c r="J223" i="9" l="1"/>
  <c r="K223" i="9" s="1"/>
  <c r="J222" i="9"/>
  <c r="J221" i="9"/>
  <c r="K221" i="9" s="1"/>
  <c r="R241" i="23"/>
  <c r="T235" i="21"/>
  <c r="L199" i="22"/>
  <c r="K199" i="22" s="1"/>
  <c r="K235" i="23"/>
  <c r="T239" i="23"/>
  <c r="T227" i="23"/>
  <c r="K223" i="23"/>
  <c r="K211" i="23"/>
  <c r="T215" i="23"/>
  <c r="T205" i="23"/>
  <c r="T203" i="23"/>
  <c r="K199" i="23"/>
  <c r="T228" i="24"/>
  <c r="K224" i="24"/>
  <c r="K40" i="21"/>
  <c r="K231" i="21"/>
  <c r="T223" i="21"/>
  <c r="K219" i="21"/>
  <c r="K207" i="21"/>
  <c r="T211" i="21"/>
  <c r="T195" i="21"/>
  <c r="K191" i="21"/>
  <c r="T214" i="22"/>
  <c r="K223" i="22"/>
  <c r="K210" i="22"/>
  <c r="K198" i="22"/>
  <c r="T202" i="22" s="1"/>
  <c r="R202" i="22" s="1"/>
  <c r="T175" i="9"/>
  <c r="K171" i="9"/>
  <c r="Q41" i="20"/>
  <c r="O42" i="20"/>
  <c r="O41" i="20"/>
  <c r="O40" i="20"/>
  <c r="E41" i="20" s="1"/>
  <c r="Q40" i="20"/>
  <c r="K48" i="21"/>
  <c r="K44" i="21"/>
  <c r="K48" i="22"/>
  <c r="K44" i="22"/>
  <c r="K40" i="22"/>
  <c r="K49" i="23"/>
  <c r="K45" i="23"/>
  <c r="K41" i="23"/>
  <c r="K55" i="24"/>
  <c r="K51" i="24"/>
  <c r="R175" i="9"/>
  <c r="K162" i="9"/>
  <c r="L172" i="9"/>
  <c r="K172" i="9" s="1"/>
  <c r="T177" i="9" s="1"/>
  <c r="R177" i="9" s="1"/>
  <c r="K48" i="9"/>
  <c r="E104" i="16"/>
  <c r="E103" i="16"/>
  <c r="K11" i="26"/>
  <c r="K9" i="26"/>
  <c r="K302" i="25"/>
  <c r="T246" i="25"/>
  <c r="W261" i="25"/>
  <c r="V261" i="25"/>
  <c r="U261" i="25"/>
  <c r="T261" i="25"/>
  <c r="W256" i="25"/>
  <c r="V256" i="25"/>
  <c r="U256" i="25"/>
  <c r="T256" i="25"/>
  <c r="W251" i="25"/>
  <c r="V251" i="25"/>
  <c r="U251" i="25"/>
  <c r="T251" i="25"/>
  <c r="W246" i="25"/>
  <c r="V246" i="25"/>
  <c r="U246" i="25"/>
  <c r="W241" i="25"/>
  <c r="V241" i="25"/>
  <c r="U241" i="25"/>
  <c r="T241" i="25"/>
  <c r="K262" i="25"/>
  <c r="K261" i="25"/>
  <c r="K257" i="25"/>
  <c r="K256" i="25"/>
  <c r="K252" i="25"/>
  <c r="K251" i="25"/>
  <c r="K247" i="25"/>
  <c r="K246" i="25"/>
  <c r="K242" i="25"/>
  <c r="K241" i="25"/>
  <c r="K234" i="25"/>
  <c r="K230" i="25"/>
  <c r="K226" i="25"/>
  <c r="K213" i="25"/>
  <c r="K215" i="25"/>
  <c r="K205" i="25"/>
  <c r="K201" i="25"/>
  <c r="K194" i="25"/>
  <c r="K190" i="25"/>
  <c r="W181" i="25"/>
  <c r="V181" i="25"/>
  <c r="U181" i="25"/>
  <c r="T181" i="25"/>
  <c r="W173" i="25"/>
  <c r="V173" i="25"/>
  <c r="U173" i="25"/>
  <c r="T173" i="25"/>
  <c r="W165" i="25"/>
  <c r="V165" i="25"/>
  <c r="U165" i="25"/>
  <c r="T165" i="25"/>
  <c r="W157" i="25"/>
  <c r="V157" i="25"/>
  <c r="U157" i="25"/>
  <c r="T157" i="25"/>
  <c r="W149" i="25"/>
  <c r="V149" i="25"/>
  <c r="U149" i="25"/>
  <c r="T149" i="25"/>
  <c r="J161" i="25"/>
  <c r="J151" i="25"/>
  <c r="K148" i="25"/>
  <c r="J185" i="25"/>
  <c r="K185" i="25" s="1"/>
  <c r="J184" i="25"/>
  <c r="K184" i="25" s="1"/>
  <c r="J183" i="25"/>
  <c r="K183" i="25" s="1"/>
  <c r="J177" i="25"/>
  <c r="K177" i="25" s="1"/>
  <c r="J176" i="25"/>
  <c r="K176" i="25" s="1"/>
  <c r="J175" i="25"/>
  <c r="K175" i="25" s="1"/>
  <c r="J169" i="25"/>
  <c r="K169" i="25" s="1"/>
  <c r="J168" i="25"/>
  <c r="K168" i="25" s="1"/>
  <c r="J167" i="25"/>
  <c r="K167" i="25" s="1"/>
  <c r="J160" i="25"/>
  <c r="K160" i="25" s="1"/>
  <c r="J159" i="25"/>
  <c r="K159" i="25" s="1"/>
  <c r="J153" i="25"/>
  <c r="K153" i="25" s="1"/>
  <c r="J152" i="25"/>
  <c r="K152" i="25" s="1"/>
  <c r="K180" i="25"/>
  <c r="K172" i="25"/>
  <c r="K164" i="25"/>
  <c r="K161" i="25"/>
  <c r="K156" i="25"/>
  <c r="K151" i="25"/>
  <c r="K127" i="25"/>
  <c r="K139" i="25"/>
  <c r="K136" i="25"/>
  <c r="K133" i="25"/>
  <c r="K130" i="25"/>
  <c r="D139" i="25"/>
  <c r="D136" i="25"/>
  <c r="D133" i="25"/>
  <c r="D130" i="25"/>
  <c r="D127" i="25"/>
  <c r="M127" i="25" s="1"/>
  <c r="W116" i="25"/>
  <c r="V116" i="25"/>
  <c r="U116" i="25"/>
  <c r="T116" i="25"/>
  <c r="W111" i="25"/>
  <c r="V111" i="25"/>
  <c r="U111" i="25"/>
  <c r="T111" i="25"/>
  <c r="W106" i="25"/>
  <c r="V106" i="25"/>
  <c r="U106" i="25"/>
  <c r="T106" i="25"/>
  <c r="W101" i="25"/>
  <c r="V101" i="25"/>
  <c r="U101" i="25"/>
  <c r="T101" i="25"/>
  <c r="T96" i="25"/>
  <c r="W96" i="25"/>
  <c r="V96" i="25"/>
  <c r="U96" i="25"/>
  <c r="K117" i="25"/>
  <c r="K116" i="25"/>
  <c r="K112" i="25"/>
  <c r="K111" i="25"/>
  <c r="K107" i="25"/>
  <c r="K106" i="25"/>
  <c r="K102" i="25"/>
  <c r="K101" i="25"/>
  <c r="K97" i="25"/>
  <c r="K96" i="25"/>
  <c r="K77" i="25"/>
  <c r="T76" i="25"/>
  <c r="T56" i="25"/>
  <c r="W76" i="25"/>
  <c r="V76" i="25"/>
  <c r="U76" i="25"/>
  <c r="W71" i="25"/>
  <c r="V71" i="25"/>
  <c r="U71" i="25"/>
  <c r="T71" i="25"/>
  <c r="W66" i="25"/>
  <c r="V66" i="25"/>
  <c r="U66" i="25"/>
  <c r="T66" i="25"/>
  <c r="W61" i="25"/>
  <c r="V61" i="25"/>
  <c r="U61" i="25"/>
  <c r="T61" i="25"/>
  <c r="W56" i="25"/>
  <c r="V56" i="25"/>
  <c r="U56" i="25"/>
  <c r="K76" i="25"/>
  <c r="K72" i="25"/>
  <c r="K71" i="25"/>
  <c r="K67" i="25"/>
  <c r="K66" i="25"/>
  <c r="K62" i="25"/>
  <c r="K61" i="25"/>
  <c r="K57" i="25"/>
  <c r="K56" i="25"/>
  <c r="K48" i="25"/>
  <c r="K44" i="25"/>
  <c r="K40" i="25"/>
  <c r="W21" i="25"/>
  <c r="V21" i="25"/>
  <c r="U21" i="25"/>
  <c r="T21" i="25"/>
  <c r="W16" i="25"/>
  <c r="V16" i="25"/>
  <c r="U16" i="25"/>
  <c r="T16" i="25"/>
  <c r="T11" i="25"/>
  <c r="W11" i="25"/>
  <c r="V11" i="25"/>
  <c r="U11" i="25"/>
  <c r="K34" i="25"/>
  <c r="K32" i="25"/>
  <c r="K34" i="21"/>
  <c r="K31" i="21"/>
  <c r="K32" i="21"/>
  <c r="K31" i="25"/>
  <c r="K23" i="25"/>
  <c r="K21" i="25"/>
  <c r="K18" i="25"/>
  <c r="K16" i="25"/>
  <c r="K13" i="25"/>
  <c r="K11" i="25"/>
  <c r="K331" i="21"/>
  <c r="T289" i="21"/>
  <c r="W289" i="21"/>
  <c r="V289" i="21"/>
  <c r="U289" i="21"/>
  <c r="W284" i="21"/>
  <c r="V284" i="21"/>
  <c r="U284" i="21"/>
  <c r="T284" i="21"/>
  <c r="W279" i="21"/>
  <c r="V279" i="21"/>
  <c r="U279" i="21"/>
  <c r="T279" i="21"/>
  <c r="W274" i="21"/>
  <c r="V274" i="21"/>
  <c r="U274" i="21"/>
  <c r="T274" i="21"/>
  <c r="W269" i="21"/>
  <c r="V269" i="21"/>
  <c r="U269" i="21"/>
  <c r="T269" i="21"/>
  <c r="K275" i="21"/>
  <c r="K274" i="21"/>
  <c r="K270" i="21"/>
  <c r="K269" i="21"/>
  <c r="K290" i="21"/>
  <c r="K289" i="21"/>
  <c r="K285" i="21"/>
  <c r="K284" i="21"/>
  <c r="K280" i="21"/>
  <c r="K279" i="21"/>
  <c r="K262" i="21"/>
  <c r="K258" i="21"/>
  <c r="K254" i="21"/>
  <c r="K243" i="21"/>
  <c r="K241" i="21"/>
  <c r="J185" i="21"/>
  <c r="J184" i="21"/>
  <c r="J183" i="21"/>
  <c r="J177" i="21"/>
  <c r="J176" i="21"/>
  <c r="J175" i="21"/>
  <c r="J169" i="21"/>
  <c r="J168" i="21"/>
  <c r="J167" i="21"/>
  <c r="J161" i="21"/>
  <c r="J160" i="21"/>
  <c r="J159" i="21"/>
  <c r="W181" i="21"/>
  <c r="V181" i="21"/>
  <c r="U181" i="21"/>
  <c r="T181" i="21"/>
  <c r="W173" i="21"/>
  <c r="V173" i="21"/>
  <c r="U173" i="21"/>
  <c r="T173" i="21"/>
  <c r="W165" i="21"/>
  <c r="V165" i="21"/>
  <c r="U165" i="21"/>
  <c r="T165" i="21"/>
  <c r="W157" i="21"/>
  <c r="V157" i="21"/>
  <c r="U157" i="21"/>
  <c r="T157" i="21"/>
  <c r="T149" i="21"/>
  <c r="W149" i="21"/>
  <c r="V149" i="21"/>
  <c r="U149" i="21"/>
  <c r="K148" i="21"/>
  <c r="J151" i="21"/>
  <c r="K151" i="21" s="1"/>
  <c r="J153" i="21"/>
  <c r="K153" i="21" s="1"/>
  <c r="J152" i="21"/>
  <c r="K152" i="21" s="1"/>
  <c r="K180" i="21"/>
  <c r="K172" i="21"/>
  <c r="K164" i="21"/>
  <c r="K156" i="21"/>
  <c r="K139" i="21"/>
  <c r="K136" i="21"/>
  <c r="K133" i="21"/>
  <c r="K130" i="21"/>
  <c r="K127" i="21"/>
  <c r="D139" i="21"/>
  <c r="D136" i="21"/>
  <c r="D133" i="21"/>
  <c r="D130" i="21"/>
  <c r="D127" i="21"/>
  <c r="K117" i="21"/>
  <c r="K116" i="21"/>
  <c r="K112" i="21"/>
  <c r="K111" i="21"/>
  <c r="K107" i="21"/>
  <c r="K106" i="21"/>
  <c r="K102" i="21"/>
  <c r="K101" i="21"/>
  <c r="W116" i="21"/>
  <c r="V116" i="21"/>
  <c r="U116" i="21"/>
  <c r="T116" i="21"/>
  <c r="W111" i="21"/>
  <c r="V111" i="21"/>
  <c r="U111" i="21"/>
  <c r="T111" i="21"/>
  <c r="W106" i="21"/>
  <c r="V106" i="21"/>
  <c r="U106" i="21"/>
  <c r="T106" i="21"/>
  <c r="W101" i="21"/>
  <c r="V101" i="21"/>
  <c r="U101" i="21"/>
  <c r="T101" i="21"/>
  <c r="T96" i="21"/>
  <c r="W96" i="21"/>
  <c r="V96" i="21"/>
  <c r="U96" i="21"/>
  <c r="K97" i="21"/>
  <c r="K96" i="21"/>
  <c r="K77" i="21"/>
  <c r="W76" i="21"/>
  <c r="V76" i="21"/>
  <c r="U76" i="21"/>
  <c r="T76" i="21"/>
  <c r="W71" i="21"/>
  <c r="V71" i="21"/>
  <c r="U71" i="21"/>
  <c r="T71" i="21"/>
  <c r="W66" i="21"/>
  <c r="V66" i="21"/>
  <c r="U66" i="21"/>
  <c r="T66" i="21"/>
  <c r="W61" i="21"/>
  <c r="V61" i="21"/>
  <c r="U61" i="21"/>
  <c r="T61" i="21"/>
  <c r="T56" i="21"/>
  <c r="W56" i="21"/>
  <c r="V56" i="21"/>
  <c r="U56" i="21"/>
  <c r="K76" i="21"/>
  <c r="K72" i="21"/>
  <c r="K71" i="21"/>
  <c r="K67" i="21"/>
  <c r="K66" i="21"/>
  <c r="K62" i="21"/>
  <c r="K61" i="21"/>
  <c r="K57" i="21"/>
  <c r="K56" i="21"/>
  <c r="W21" i="21"/>
  <c r="V21" i="21"/>
  <c r="U21" i="21"/>
  <c r="T21" i="21"/>
  <c r="W16" i="21"/>
  <c r="V16" i="21"/>
  <c r="U16" i="21"/>
  <c r="T16" i="21"/>
  <c r="T11" i="21"/>
  <c r="W11" i="21"/>
  <c r="V11" i="21"/>
  <c r="U11" i="21"/>
  <c r="K23" i="21"/>
  <c r="K21" i="21"/>
  <c r="K18" i="21"/>
  <c r="K16" i="21"/>
  <c r="K13" i="21"/>
  <c r="K11" i="21"/>
  <c r="W188" i="22"/>
  <c r="V188" i="22"/>
  <c r="U188" i="22"/>
  <c r="T188" i="22"/>
  <c r="W180" i="22"/>
  <c r="V180" i="22"/>
  <c r="U180" i="22"/>
  <c r="T180" i="22"/>
  <c r="W172" i="22"/>
  <c r="V172" i="22"/>
  <c r="U172" i="22"/>
  <c r="T172" i="22"/>
  <c r="W164" i="22"/>
  <c r="V164" i="22"/>
  <c r="U164" i="22"/>
  <c r="T164" i="22"/>
  <c r="T156" i="22"/>
  <c r="W156" i="22"/>
  <c r="V156" i="22"/>
  <c r="U156" i="22"/>
  <c r="W281" i="22"/>
  <c r="V281" i="22"/>
  <c r="U281" i="22"/>
  <c r="T281" i="22"/>
  <c r="W276" i="22"/>
  <c r="V276" i="22"/>
  <c r="U276" i="22"/>
  <c r="T276" i="22"/>
  <c r="W271" i="22"/>
  <c r="V271" i="22"/>
  <c r="U271" i="22"/>
  <c r="T271" i="22"/>
  <c r="W266" i="22"/>
  <c r="V266" i="22"/>
  <c r="U266" i="22"/>
  <c r="T266" i="22"/>
  <c r="W261" i="22"/>
  <c r="V261" i="22"/>
  <c r="U261" i="22"/>
  <c r="T261" i="22"/>
  <c r="K322" i="22"/>
  <c r="K334" i="23"/>
  <c r="K282" i="22"/>
  <c r="K281" i="22"/>
  <c r="K277" i="22"/>
  <c r="K276" i="22"/>
  <c r="K272" i="22"/>
  <c r="K271" i="22"/>
  <c r="K267" i="22"/>
  <c r="K266" i="22"/>
  <c r="K262" i="22"/>
  <c r="K261" i="22"/>
  <c r="K254" i="22"/>
  <c r="K250" i="22"/>
  <c r="K246" i="22"/>
  <c r="K233" i="22"/>
  <c r="K247" i="23"/>
  <c r="K245" i="23"/>
  <c r="K240" i="24"/>
  <c r="K238" i="24"/>
  <c r="K253" i="9"/>
  <c r="K251" i="9"/>
  <c r="K235" i="22"/>
  <c r="K187" i="22"/>
  <c r="K179" i="22"/>
  <c r="K171" i="22"/>
  <c r="K163" i="22"/>
  <c r="K155" i="22"/>
  <c r="J193" i="23"/>
  <c r="J192" i="23"/>
  <c r="J191" i="23"/>
  <c r="J185" i="23"/>
  <c r="J184" i="23"/>
  <c r="J183" i="23"/>
  <c r="J177" i="23"/>
  <c r="J176" i="23"/>
  <c r="J175" i="23"/>
  <c r="J169" i="23"/>
  <c r="J168" i="23"/>
  <c r="J167" i="23"/>
  <c r="J161" i="23"/>
  <c r="J160" i="23"/>
  <c r="J159" i="23"/>
  <c r="J192" i="22"/>
  <c r="K192" i="22" s="1"/>
  <c r="J191" i="22"/>
  <c r="K191" i="22" s="1"/>
  <c r="J190" i="22"/>
  <c r="K190" i="22" s="1"/>
  <c r="J184" i="22"/>
  <c r="K184" i="22" s="1"/>
  <c r="J183" i="22"/>
  <c r="K183" i="22" s="1"/>
  <c r="J182" i="22"/>
  <c r="K182" i="22" s="1"/>
  <c r="J176" i="22"/>
  <c r="K176" i="22" s="1"/>
  <c r="J175" i="22"/>
  <c r="K175" i="22" s="1"/>
  <c r="J174" i="22"/>
  <c r="K174" i="22" s="1"/>
  <c r="J168" i="22"/>
  <c r="K168" i="22" s="1"/>
  <c r="J167" i="22"/>
  <c r="K167" i="22" s="1"/>
  <c r="J166" i="22"/>
  <c r="K166" i="22" s="1"/>
  <c r="J160" i="22"/>
  <c r="J159" i="22"/>
  <c r="J158" i="22"/>
  <c r="K146" i="22"/>
  <c r="K143" i="22"/>
  <c r="K140" i="22"/>
  <c r="K137" i="22"/>
  <c r="D146" i="22"/>
  <c r="D143" i="22"/>
  <c r="D140" i="22"/>
  <c r="D137" i="22"/>
  <c r="K134" i="22"/>
  <c r="D134" i="22"/>
  <c r="M134" i="22" s="1"/>
  <c r="K125" i="22"/>
  <c r="W116" i="22"/>
  <c r="V116" i="22"/>
  <c r="U116" i="22"/>
  <c r="T116" i="22"/>
  <c r="W111" i="22"/>
  <c r="V111" i="22"/>
  <c r="U111" i="22"/>
  <c r="T111" i="22"/>
  <c r="W106" i="22"/>
  <c r="V106" i="22"/>
  <c r="U106" i="22"/>
  <c r="T106" i="22"/>
  <c r="W101" i="22"/>
  <c r="V101" i="22"/>
  <c r="U101" i="22"/>
  <c r="T101" i="22"/>
  <c r="T96" i="22"/>
  <c r="W96" i="22"/>
  <c r="V96" i="22"/>
  <c r="U96" i="22"/>
  <c r="K117" i="22"/>
  <c r="K116" i="22"/>
  <c r="K112" i="22"/>
  <c r="K111" i="22"/>
  <c r="K107" i="22"/>
  <c r="K106" i="22"/>
  <c r="K102" i="22"/>
  <c r="K101" i="22"/>
  <c r="K97" i="22"/>
  <c r="AF96" i="22" s="1"/>
  <c r="K96" i="22"/>
  <c r="W76" i="22"/>
  <c r="V76" i="22"/>
  <c r="U76" i="22"/>
  <c r="T76" i="22"/>
  <c r="W71" i="22"/>
  <c r="V71" i="22"/>
  <c r="U71" i="22"/>
  <c r="T71" i="22"/>
  <c r="W66" i="22"/>
  <c r="V66" i="22"/>
  <c r="U66" i="22"/>
  <c r="T66" i="22"/>
  <c r="W61" i="22"/>
  <c r="V61" i="22"/>
  <c r="U61" i="22"/>
  <c r="T61" i="22"/>
  <c r="W56" i="22"/>
  <c r="V56" i="22"/>
  <c r="U56" i="22"/>
  <c r="T56" i="22"/>
  <c r="K77" i="22"/>
  <c r="K76" i="22"/>
  <c r="K72" i="22"/>
  <c r="K71" i="22"/>
  <c r="K67" i="22"/>
  <c r="K66" i="22"/>
  <c r="K62" i="22"/>
  <c r="K61" i="22"/>
  <c r="K57" i="22"/>
  <c r="K56" i="22"/>
  <c r="W21" i="22"/>
  <c r="V21" i="22"/>
  <c r="U21" i="22"/>
  <c r="T21" i="22"/>
  <c r="W16" i="22"/>
  <c r="V16" i="22"/>
  <c r="U16" i="22"/>
  <c r="T16" i="22"/>
  <c r="W11" i="22"/>
  <c r="V11" i="22"/>
  <c r="U11" i="22"/>
  <c r="T11" i="22"/>
  <c r="K34" i="22"/>
  <c r="K32" i="22"/>
  <c r="K31" i="22"/>
  <c r="K23" i="22"/>
  <c r="K21" i="22"/>
  <c r="K18" i="22"/>
  <c r="K16" i="22"/>
  <c r="K13" i="22"/>
  <c r="K11" i="22"/>
  <c r="W293" i="23"/>
  <c r="V293" i="23"/>
  <c r="U293" i="23"/>
  <c r="T293" i="23"/>
  <c r="W288" i="23"/>
  <c r="V288" i="23"/>
  <c r="U288" i="23"/>
  <c r="T288" i="23"/>
  <c r="W283" i="23"/>
  <c r="V283" i="23"/>
  <c r="U283" i="23"/>
  <c r="T283" i="23"/>
  <c r="W278" i="23"/>
  <c r="V278" i="23"/>
  <c r="U278" i="23"/>
  <c r="T278" i="23"/>
  <c r="W273" i="23"/>
  <c r="V273" i="23"/>
  <c r="U273" i="23"/>
  <c r="T273" i="23"/>
  <c r="K294" i="23"/>
  <c r="K293" i="23"/>
  <c r="K289" i="23"/>
  <c r="K288" i="23"/>
  <c r="K284" i="23"/>
  <c r="K283" i="23"/>
  <c r="K279" i="23"/>
  <c r="K278" i="23"/>
  <c r="K273" i="23"/>
  <c r="K274" i="23"/>
  <c r="K266" i="23"/>
  <c r="K262" i="23"/>
  <c r="K258" i="23"/>
  <c r="W189" i="23"/>
  <c r="V189" i="23"/>
  <c r="U189" i="23"/>
  <c r="T189" i="23"/>
  <c r="W181" i="23"/>
  <c r="V181" i="23"/>
  <c r="U181" i="23"/>
  <c r="T181" i="23"/>
  <c r="W173" i="23"/>
  <c r="V173" i="23"/>
  <c r="U173" i="23"/>
  <c r="T173" i="23"/>
  <c r="W165" i="23"/>
  <c r="V165" i="23"/>
  <c r="U165" i="23"/>
  <c r="T165" i="23"/>
  <c r="T157" i="23"/>
  <c r="W157" i="23"/>
  <c r="V157" i="23"/>
  <c r="U157" i="23"/>
  <c r="K188" i="23"/>
  <c r="K180" i="23"/>
  <c r="K172" i="23"/>
  <c r="K164" i="23"/>
  <c r="K147" i="23"/>
  <c r="K144" i="23"/>
  <c r="K141" i="23"/>
  <c r="K138" i="23"/>
  <c r="K135" i="23"/>
  <c r="D147" i="23"/>
  <c r="D144" i="23"/>
  <c r="D141" i="23"/>
  <c r="D138" i="23"/>
  <c r="D135" i="23"/>
  <c r="K126" i="23"/>
  <c r="W117" i="23"/>
  <c r="V117" i="23"/>
  <c r="U117" i="23"/>
  <c r="T117" i="23"/>
  <c r="W112" i="23"/>
  <c r="V112" i="23"/>
  <c r="U112" i="23"/>
  <c r="T112" i="23"/>
  <c r="W107" i="23"/>
  <c r="V107" i="23"/>
  <c r="U107" i="23"/>
  <c r="T107" i="23"/>
  <c r="W102" i="23"/>
  <c r="V102" i="23"/>
  <c r="U102" i="23"/>
  <c r="T102" i="23"/>
  <c r="T97" i="23"/>
  <c r="W97" i="23"/>
  <c r="V97" i="23"/>
  <c r="U97" i="23"/>
  <c r="K118" i="23"/>
  <c r="K117" i="23"/>
  <c r="K113" i="23"/>
  <c r="K112" i="23"/>
  <c r="K108" i="23"/>
  <c r="K107" i="23"/>
  <c r="K103" i="23"/>
  <c r="K102" i="23"/>
  <c r="K98" i="23"/>
  <c r="K97" i="23"/>
  <c r="U89" i="23"/>
  <c r="U88" i="23"/>
  <c r="U87" i="23"/>
  <c r="U86" i="23"/>
  <c r="U92" i="24"/>
  <c r="T77" i="23"/>
  <c r="W77" i="23"/>
  <c r="V77" i="23"/>
  <c r="U77" i="23"/>
  <c r="W72" i="23"/>
  <c r="V72" i="23"/>
  <c r="U72" i="23"/>
  <c r="T72" i="23"/>
  <c r="W67" i="23"/>
  <c r="V67" i="23"/>
  <c r="U67" i="23"/>
  <c r="T67" i="23"/>
  <c r="W62" i="23"/>
  <c r="V62" i="23"/>
  <c r="U62" i="23"/>
  <c r="T62" i="23"/>
  <c r="W57" i="23"/>
  <c r="V57" i="23"/>
  <c r="U57" i="23"/>
  <c r="T57" i="23"/>
  <c r="K73" i="23"/>
  <c r="K68" i="23"/>
  <c r="K63" i="23"/>
  <c r="K78" i="23"/>
  <c r="K58" i="23"/>
  <c r="K57" i="23"/>
  <c r="K77" i="23"/>
  <c r="K72" i="23"/>
  <c r="K67" i="23"/>
  <c r="K62" i="23"/>
  <c r="W22" i="23"/>
  <c r="V22" i="23"/>
  <c r="U22" i="23"/>
  <c r="T22" i="23"/>
  <c r="W17" i="23"/>
  <c r="V17" i="23"/>
  <c r="U17" i="23"/>
  <c r="T17" i="23"/>
  <c r="V12" i="23"/>
  <c r="U12" i="23"/>
  <c r="T12" i="23"/>
  <c r="W12" i="23"/>
  <c r="K35" i="23"/>
  <c r="K33" i="23"/>
  <c r="K32" i="23"/>
  <c r="K24" i="23"/>
  <c r="K22" i="23"/>
  <c r="K19" i="23"/>
  <c r="K17" i="23"/>
  <c r="K14" i="23"/>
  <c r="K12" i="23"/>
  <c r="K109" i="24"/>
  <c r="K104" i="24"/>
  <c r="K84" i="24"/>
  <c r="K79" i="24"/>
  <c r="K74" i="24"/>
  <c r="K69" i="24"/>
  <c r="K64" i="24"/>
  <c r="K23" i="24"/>
  <c r="K18" i="24"/>
  <c r="K13" i="24"/>
  <c r="K23" i="9"/>
  <c r="K18" i="9"/>
  <c r="K13" i="9"/>
  <c r="K281" i="24"/>
  <c r="K277" i="24"/>
  <c r="K276" i="24"/>
  <c r="K271" i="24"/>
  <c r="K272" i="24"/>
  <c r="K267" i="24"/>
  <c r="T271" i="24"/>
  <c r="W286" i="24"/>
  <c r="V286" i="24"/>
  <c r="U286" i="24"/>
  <c r="T286" i="24"/>
  <c r="W281" i="24"/>
  <c r="V281" i="24"/>
  <c r="U281" i="24"/>
  <c r="T281" i="24"/>
  <c r="W276" i="24"/>
  <c r="V276" i="24"/>
  <c r="U276" i="24"/>
  <c r="T276" i="24"/>
  <c r="W271" i="24"/>
  <c r="V271" i="24"/>
  <c r="U271" i="24"/>
  <c r="W266" i="24"/>
  <c r="V266" i="24"/>
  <c r="U266" i="24"/>
  <c r="T266" i="24"/>
  <c r="K327" i="24"/>
  <c r="K282" i="24"/>
  <c r="K287" i="24"/>
  <c r="K286" i="24"/>
  <c r="K266" i="24"/>
  <c r="K255" i="24"/>
  <c r="K251" i="24"/>
  <c r="K155" i="24"/>
  <c r="K366" i="9"/>
  <c r="K187" i="9"/>
  <c r="K336" i="9"/>
  <c r="K328" i="9"/>
  <c r="K320" i="9"/>
  <c r="K312" i="9"/>
  <c r="K304" i="9"/>
  <c r="K242" i="9"/>
  <c r="K234" i="9"/>
  <c r="K226" i="9"/>
  <c r="K218" i="9"/>
  <c r="K187" i="24"/>
  <c r="K179" i="24"/>
  <c r="K171" i="24"/>
  <c r="K163" i="24"/>
  <c r="W188" i="24"/>
  <c r="V188" i="24"/>
  <c r="U188" i="24"/>
  <c r="T188" i="24"/>
  <c r="W180" i="24"/>
  <c r="V180" i="24"/>
  <c r="U180" i="24"/>
  <c r="T180" i="24"/>
  <c r="W172" i="24"/>
  <c r="V172" i="24"/>
  <c r="U172" i="24"/>
  <c r="T172" i="24"/>
  <c r="W164" i="24"/>
  <c r="V164" i="24"/>
  <c r="U164" i="24"/>
  <c r="T164" i="24"/>
  <c r="W156" i="24"/>
  <c r="V156" i="24"/>
  <c r="U156" i="24"/>
  <c r="T156" i="24"/>
  <c r="J192" i="24"/>
  <c r="K192" i="24" s="1"/>
  <c r="J191" i="24"/>
  <c r="K191" i="24" s="1"/>
  <c r="J190" i="24"/>
  <c r="K190" i="24" s="1"/>
  <c r="J184" i="24"/>
  <c r="K184" i="24" s="1"/>
  <c r="J183" i="24"/>
  <c r="K183" i="24" s="1"/>
  <c r="J182" i="24"/>
  <c r="K182" i="24" s="1"/>
  <c r="J176" i="24"/>
  <c r="K176" i="24" s="1"/>
  <c r="J175" i="24"/>
  <c r="K175" i="24" s="1"/>
  <c r="J174" i="24"/>
  <c r="K174" i="24" s="1"/>
  <c r="J168" i="24"/>
  <c r="K168" i="24" s="1"/>
  <c r="J167" i="24"/>
  <c r="K167" i="24" s="1"/>
  <c r="J166" i="24"/>
  <c r="K166" i="24" s="1"/>
  <c r="J158" i="24"/>
  <c r="K158" i="24" s="1"/>
  <c r="J160" i="24"/>
  <c r="K160" i="24" s="1"/>
  <c r="J159" i="24"/>
  <c r="K159" i="24" s="1"/>
  <c r="J247" i="9"/>
  <c r="K247" i="9" s="1"/>
  <c r="J246" i="9"/>
  <c r="K246" i="9" s="1"/>
  <c r="J245" i="9"/>
  <c r="K245" i="9" s="1"/>
  <c r="J239" i="9"/>
  <c r="K239" i="9" s="1"/>
  <c r="J238" i="9"/>
  <c r="K238" i="9" s="1"/>
  <c r="J237" i="9"/>
  <c r="K237" i="9" s="1"/>
  <c r="J231" i="9"/>
  <c r="K231" i="9" s="1"/>
  <c r="J230" i="9"/>
  <c r="K230" i="9" s="1"/>
  <c r="J229" i="9"/>
  <c r="K229" i="9" s="1"/>
  <c r="K222" i="9"/>
  <c r="J215" i="9"/>
  <c r="K215" i="9" s="1"/>
  <c r="J214" i="9"/>
  <c r="K214" i="9" s="1"/>
  <c r="J213" i="9"/>
  <c r="K213" i="9" s="1"/>
  <c r="K339" i="9"/>
  <c r="K333" i="9"/>
  <c r="K325" i="9"/>
  <c r="K324" i="9"/>
  <c r="K316" i="9"/>
  <c r="K315" i="9"/>
  <c r="K309" i="9"/>
  <c r="K308" i="9"/>
  <c r="J341" i="9"/>
  <c r="K341" i="9" s="1"/>
  <c r="J340" i="9"/>
  <c r="K340" i="9" s="1"/>
  <c r="J339" i="9"/>
  <c r="J333" i="9"/>
  <c r="J332" i="9"/>
  <c r="K332" i="9" s="1"/>
  <c r="J331" i="9"/>
  <c r="K331" i="9" s="1"/>
  <c r="J325" i="9"/>
  <c r="J324" i="9"/>
  <c r="J323" i="9"/>
  <c r="K323" i="9" s="1"/>
  <c r="J317" i="9"/>
  <c r="K317" i="9" s="1"/>
  <c r="J316" i="9"/>
  <c r="J315" i="9"/>
  <c r="J309" i="9"/>
  <c r="J308" i="9"/>
  <c r="J307" i="9"/>
  <c r="K307" i="9" s="1"/>
  <c r="K259" i="24"/>
  <c r="K215" i="24"/>
  <c r="K209" i="24"/>
  <c r="K203" i="24"/>
  <c r="K197" i="24"/>
  <c r="K137" i="24"/>
  <c r="K146" i="24"/>
  <c r="K143" i="24"/>
  <c r="K140" i="24"/>
  <c r="K134" i="24"/>
  <c r="D146" i="24"/>
  <c r="D143" i="24"/>
  <c r="D140" i="24"/>
  <c r="D137" i="24"/>
  <c r="D134" i="24"/>
  <c r="H28" i="19"/>
  <c r="I28" i="19"/>
  <c r="W123" i="24"/>
  <c r="V123" i="24"/>
  <c r="U123" i="24"/>
  <c r="T123" i="24"/>
  <c r="W118" i="24"/>
  <c r="V118" i="24"/>
  <c r="U118" i="24"/>
  <c r="T118" i="24"/>
  <c r="W113" i="24"/>
  <c r="V113" i="24"/>
  <c r="U113" i="24"/>
  <c r="T113" i="24"/>
  <c r="W108" i="24"/>
  <c r="V108" i="24"/>
  <c r="U108" i="24"/>
  <c r="T108" i="24"/>
  <c r="K114" i="24"/>
  <c r="K124" i="24"/>
  <c r="K123" i="24"/>
  <c r="K119" i="24"/>
  <c r="K118" i="24"/>
  <c r="K113" i="24"/>
  <c r="K108" i="24"/>
  <c r="K103" i="24"/>
  <c r="K96" i="9"/>
  <c r="T103" i="24"/>
  <c r="W103" i="24"/>
  <c r="V103" i="24"/>
  <c r="U103" i="24"/>
  <c r="W83" i="24"/>
  <c r="V83" i="24"/>
  <c r="U83" i="24"/>
  <c r="T83" i="24"/>
  <c r="W78" i="24"/>
  <c r="V78" i="24"/>
  <c r="U78" i="24"/>
  <c r="T78" i="24"/>
  <c r="W73" i="24"/>
  <c r="V73" i="24"/>
  <c r="U73" i="24"/>
  <c r="T73" i="24"/>
  <c r="W68" i="24"/>
  <c r="V68" i="24"/>
  <c r="U68" i="24"/>
  <c r="T68" i="24"/>
  <c r="T63" i="24"/>
  <c r="W63" i="24"/>
  <c r="V63" i="24"/>
  <c r="U63" i="24"/>
  <c r="K83" i="24"/>
  <c r="K78" i="24"/>
  <c r="K73" i="24"/>
  <c r="K68" i="24"/>
  <c r="K59" i="9"/>
  <c r="K54" i="9"/>
  <c r="K63" i="24"/>
  <c r="U39" i="24"/>
  <c r="T21" i="24"/>
  <c r="T16" i="24"/>
  <c r="T11" i="24"/>
  <c r="W21" i="24"/>
  <c r="V21" i="24"/>
  <c r="U21" i="24"/>
  <c r="W16" i="24"/>
  <c r="V16" i="24"/>
  <c r="U16" i="24"/>
  <c r="W11" i="24"/>
  <c r="V11" i="24"/>
  <c r="U11" i="24"/>
  <c r="K39" i="24"/>
  <c r="K34" i="24"/>
  <c r="K32" i="24"/>
  <c r="K31" i="24"/>
  <c r="K21" i="24"/>
  <c r="K16" i="24"/>
  <c r="K11" i="24"/>
  <c r="K29" i="20"/>
  <c r="K453" i="9"/>
  <c r="W412" i="9"/>
  <c r="V412" i="9"/>
  <c r="U412" i="9"/>
  <c r="T412" i="9"/>
  <c r="W407" i="9"/>
  <c r="V407" i="9"/>
  <c r="U407" i="9"/>
  <c r="T407" i="9"/>
  <c r="W402" i="9"/>
  <c r="V402" i="9"/>
  <c r="U402" i="9"/>
  <c r="T402" i="9"/>
  <c r="W397" i="9"/>
  <c r="V397" i="9"/>
  <c r="U397" i="9"/>
  <c r="T397" i="9"/>
  <c r="K413" i="9"/>
  <c r="K412" i="9"/>
  <c r="K408" i="9"/>
  <c r="K407" i="9"/>
  <c r="K403" i="9"/>
  <c r="K402" i="9"/>
  <c r="K398" i="9"/>
  <c r="K397" i="9"/>
  <c r="T392" i="9"/>
  <c r="K393" i="9"/>
  <c r="K392" i="9"/>
  <c r="W392" i="9"/>
  <c r="V392" i="9"/>
  <c r="U392" i="9"/>
  <c r="K385" i="9"/>
  <c r="K381" i="9"/>
  <c r="K377" i="9"/>
  <c r="K355" i="9"/>
  <c r="K350" i="9"/>
  <c r="K345" i="9"/>
  <c r="K295" i="9"/>
  <c r="K292" i="9"/>
  <c r="K289" i="9"/>
  <c r="K286" i="9"/>
  <c r="K283" i="9"/>
  <c r="D295" i="9"/>
  <c r="D292" i="9"/>
  <c r="D289" i="9"/>
  <c r="D286" i="9"/>
  <c r="D283" i="9"/>
  <c r="K274" i="9"/>
  <c r="K269" i="9"/>
  <c r="K264" i="9"/>
  <c r="K262" i="9"/>
  <c r="K272" i="9"/>
  <c r="K267" i="9"/>
  <c r="K155" i="9"/>
  <c r="K149" i="9"/>
  <c r="K139" i="9"/>
  <c r="K138" i="9"/>
  <c r="K131" i="9"/>
  <c r="K124" i="9"/>
  <c r="K77" i="9"/>
  <c r="K39" i="9"/>
  <c r="W337" i="9"/>
  <c r="V337" i="9"/>
  <c r="U337" i="9"/>
  <c r="T337" i="9"/>
  <c r="W329" i="9"/>
  <c r="V329" i="9"/>
  <c r="U329" i="9"/>
  <c r="T329" i="9"/>
  <c r="W321" i="9"/>
  <c r="V321" i="9"/>
  <c r="U321" i="9"/>
  <c r="T321" i="9"/>
  <c r="W313" i="9"/>
  <c r="V313" i="9"/>
  <c r="U313" i="9"/>
  <c r="T313" i="9"/>
  <c r="W305" i="9"/>
  <c r="V305" i="9"/>
  <c r="U305" i="9"/>
  <c r="T305" i="9"/>
  <c r="T272" i="9"/>
  <c r="W272" i="9"/>
  <c r="V272" i="9"/>
  <c r="U272" i="9"/>
  <c r="W267" i="9"/>
  <c r="V267" i="9"/>
  <c r="U267" i="9"/>
  <c r="T267" i="9"/>
  <c r="W262" i="9"/>
  <c r="V262" i="9"/>
  <c r="U262" i="9"/>
  <c r="T262" i="9"/>
  <c r="T211" i="9"/>
  <c r="W243" i="9"/>
  <c r="V243" i="9"/>
  <c r="U243" i="9"/>
  <c r="T243" i="9"/>
  <c r="W235" i="9"/>
  <c r="V235" i="9"/>
  <c r="U235" i="9"/>
  <c r="T235" i="9"/>
  <c r="W227" i="9"/>
  <c r="V227" i="9"/>
  <c r="U227" i="9"/>
  <c r="T227" i="9"/>
  <c r="W219" i="9"/>
  <c r="V219" i="9"/>
  <c r="U219" i="9"/>
  <c r="T219" i="9"/>
  <c r="W211" i="9"/>
  <c r="V211" i="9"/>
  <c r="U211" i="9"/>
  <c r="T138" i="9"/>
  <c r="W138" i="9"/>
  <c r="V138" i="9"/>
  <c r="U138" i="9"/>
  <c r="W115" i="9"/>
  <c r="V115" i="9"/>
  <c r="U115" i="9"/>
  <c r="T115" i="9"/>
  <c r="W110" i="9"/>
  <c r="V110" i="9"/>
  <c r="U110" i="9"/>
  <c r="T110" i="9"/>
  <c r="W105" i="9"/>
  <c r="V105" i="9"/>
  <c r="U105" i="9"/>
  <c r="T105" i="9"/>
  <c r="W100" i="9"/>
  <c r="V100" i="9"/>
  <c r="U100" i="9"/>
  <c r="T100" i="9"/>
  <c r="W95" i="9"/>
  <c r="V95" i="9"/>
  <c r="U95" i="9"/>
  <c r="T95" i="9"/>
  <c r="U53" i="9"/>
  <c r="T53" i="9"/>
  <c r="W48" i="9"/>
  <c r="V48" i="9"/>
  <c r="U48" i="9"/>
  <c r="T48" i="9"/>
  <c r="T21" i="9"/>
  <c r="K116" i="9"/>
  <c r="K111" i="9"/>
  <c r="K106" i="9"/>
  <c r="K101" i="9"/>
  <c r="K95" i="9"/>
  <c r="K69" i="9"/>
  <c r="K64" i="9"/>
  <c r="D199" i="9"/>
  <c r="D196" i="9"/>
  <c r="D193" i="9"/>
  <c r="D190" i="9"/>
  <c r="D187" i="9"/>
  <c r="W68" i="9"/>
  <c r="V68" i="9"/>
  <c r="U68" i="9"/>
  <c r="T68" i="9"/>
  <c r="W63" i="9"/>
  <c r="V63" i="9"/>
  <c r="U63" i="9"/>
  <c r="T63" i="9"/>
  <c r="W58" i="9"/>
  <c r="V58" i="9"/>
  <c r="U58" i="9"/>
  <c r="T58" i="9"/>
  <c r="W53" i="9"/>
  <c r="V53" i="9"/>
  <c r="W21" i="9"/>
  <c r="V21" i="9"/>
  <c r="U21" i="9"/>
  <c r="W16" i="9"/>
  <c r="V16" i="9"/>
  <c r="U16" i="9"/>
  <c r="T16" i="9"/>
  <c r="W11" i="9"/>
  <c r="V11" i="9"/>
  <c r="U11" i="9"/>
  <c r="T11" i="9"/>
  <c r="K115" i="9"/>
  <c r="K110" i="9"/>
  <c r="K105" i="9"/>
  <c r="K100" i="9"/>
  <c r="K68" i="9"/>
  <c r="K63" i="9"/>
  <c r="K58" i="9"/>
  <c r="K53" i="9"/>
  <c r="K34" i="9"/>
  <c r="K32" i="9"/>
  <c r="K31" i="9"/>
  <c r="U84" i="16"/>
  <c r="U83" i="16"/>
  <c r="U82" i="16"/>
  <c r="U81" i="16"/>
  <c r="U80" i="16"/>
  <c r="U79" i="16"/>
  <c r="U78" i="16"/>
  <c r="U77" i="16"/>
  <c r="U76" i="16"/>
  <c r="U75" i="16"/>
  <c r="U74" i="16"/>
  <c r="U73" i="16"/>
  <c r="U72" i="16"/>
  <c r="U71" i="16"/>
  <c r="U70" i="16"/>
  <c r="U69" i="16"/>
  <c r="U68" i="16"/>
  <c r="U67" i="16"/>
  <c r="U66" i="16"/>
  <c r="U65" i="16"/>
  <c r="U64" i="16"/>
  <c r="U63" i="16"/>
  <c r="U62" i="16"/>
  <c r="U61" i="16"/>
  <c r="U60" i="16"/>
  <c r="U59" i="16"/>
  <c r="U58" i="16"/>
  <c r="U57" i="16"/>
  <c r="U56" i="16"/>
  <c r="U55" i="16"/>
  <c r="U54" i="16"/>
  <c r="U53" i="16"/>
  <c r="U52" i="16"/>
  <c r="U51" i="16"/>
  <c r="U50" i="16"/>
  <c r="U48" i="16"/>
  <c r="U46" i="16"/>
  <c r="U49" i="16"/>
  <c r="U47" i="16"/>
  <c r="U45" i="16"/>
  <c r="G97" i="16"/>
  <c r="G98" i="16"/>
  <c r="K21" i="9"/>
  <c r="K16" i="9"/>
  <c r="K11" i="9"/>
  <c r="T204" i="22" l="1"/>
  <c r="R204" i="22" s="1"/>
  <c r="R198" i="22" s="1"/>
  <c r="K49" i="9"/>
  <c r="K199" i="9"/>
  <c r="K196" i="9"/>
  <c r="K193" i="9"/>
  <c r="K190" i="9"/>
  <c r="D70" i="19" l="1"/>
  <c r="D71" i="19"/>
  <c r="D72" i="19"/>
  <c r="D73" i="19"/>
  <c r="D74" i="19"/>
  <c r="D75" i="19"/>
  <c r="D76" i="19"/>
  <c r="D77" i="19"/>
  <c r="D78" i="19"/>
  <c r="D79" i="19"/>
  <c r="D80" i="19"/>
  <c r="D81" i="19"/>
  <c r="D82" i="19"/>
  <c r="D83" i="19"/>
  <c r="D84" i="19"/>
  <c r="D85" i="19"/>
  <c r="D86" i="19"/>
  <c r="D87" i="19"/>
  <c r="D88" i="19"/>
  <c r="D89" i="19"/>
  <c r="D90" i="19"/>
  <c r="D91" i="19"/>
  <c r="D92" i="19"/>
  <c r="D93" i="19"/>
  <c r="D94" i="19"/>
  <c r="D95" i="19"/>
  <c r="D96" i="19"/>
  <c r="D97" i="19"/>
  <c r="D98" i="19"/>
  <c r="D99" i="19"/>
  <c r="D100" i="19"/>
  <c r="D101" i="19"/>
  <c r="D102" i="19"/>
  <c r="D103" i="19"/>
  <c r="D104" i="19"/>
  <c r="D105" i="19"/>
  <c r="D106" i="19"/>
  <c r="D69"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3" i="19"/>
  <c r="D44" i="19"/>
  <c r="D45" i="19"/>
  <c r="D46" i="19"/>
  <c r="D47" i="19"/>
  <c r="D48" i="19"/>
  <c r="D49" i="19"/>
  <c r="D50" i="19"/>
  <c r="D51" i="19"/>
  <c r="D52" i="19"/>
  <c r="D53" i="19"/>
  <c r="D54" i="19"/>
  <c r="D55" i="19"/>
  <c r="D16" i="19"/>
  <c r="G123" i="24"/>
  <c r="P33" i="19"/>
  <c r="Q33" i="19"/>
  <c r="Q32" i="19"/>
  <c r="P32" i="19"/>
  <c r="Q31" i="19"/>
  <c r="P31" i="19"/>
  <c r="Q30" i="19"/>
  <c r="P30" i="19"/>
  <c r="Q29" i="19"/>
  <c r="P29" i="19"/>
  <c r="Q28" i="19"/>
  <c r="P28" i="19"/>
  <c r="Q27" i="19"/>
  <c r="P27" i="19"/>
  <c r="Q26" i="19"/>
  <c r="P26" i="19"/>
  <c r="Q25" i="19"/>
  <c r="P25" i="19"/>
  <c r="Q24" i="19"/>
  <c r="P24" i="19"/>
  <c r="Q23" i="19"/>
  <c r="P23" i="19"/>
  <c r="Q22" i="19"/>
  <c r="P22" i="19"/>
  <c r="Q21" i="19"/>
  <c r="P21" i="19"/>
  <c r="Q20" i="19"/>
  <c r="P20" i="19"/>
  <c r="Q19" i="19"/>
  <c r="P19" i="19"/>
  <c r="Q18" i="19"/>
  <c r="P18" i="19"/>
  <c r="Q17" i="19"/>
  <c r="P17" i="19"/>
  <c r="Q16" i="19"/>
  <c r="P16" i="19"/>
  <c r="Q15" i="19"/>
  <c r="P15" i="19"/>
  <c r="N32" i="19"/>
  <c r="O32" i="19"/>
  <c r="N33" i="19"/>
  <c r="O33" i="19"/>
  <c r="N30" i="19"/>
  <c r="O30" i="19"/>
  <c r="N31" i="19"/>
  <c r="O31" i="19"/>
  <c r="O29" i="19"/>
  <c r="N29" i="19"/>
  <c r="O28" i="19"/>
  <c r="N28" i="19"/>
  <c r="O27" i="19"/>
  <c r="N27" i="19"/>
  <c r="O26" i="19"/>
  <c r="N26" i="19"/>
  <c r="O25" i="19"/>
  <c r="N25" i="19"/>
  <c r="O24" i="19"/>
  <c r="N24" i="19"/>
  <c r="O23" i="19"/>
  <c r="N23" i="19"/>
  <c r="O22" i="19"/>
  <c r="N22" i="19"/>
  <c r="O21" i="19"/>
  <c r="N21" i="19"/>
  <c r="O20" i="19"/>
  <c r="N20" i="19"/>
  <c r="O19" i="19"/>
  <c r="N19" i="19"/>
  <c r="O18" i="19"/>
  <c r="N18" i="19"/>
  <c r="O17" i="19"/>
  <c r="N17" i="19"/>
  <c r="O16" i="19"/>
  <c r="N16" i="19"/>
  <c r="O15" i="19"/>
  <c r="N15" i="19"/>
  <c r="L33" i="19"/>
  <c r="M33" i="19"/>
  <c r="M32" i="19"/>
  <c r="L32" i="19"/>
  <c r="M31" i="19"/>
  <c r="L31" i="19"/>
  <c r="M30" i="19"/>
  <c r="L30" i="19"/>
  <c r="M29" i="19"/>
  <c r="L29" i="19"/>
  <c r="M28" i="19"/>
  <c r="L28" i="19"/>
  <c r="M27" i="19"/>
  <c r="L27" i="19"/>
  <c r="M26" i="19"/>
  <c r="L26" i="19"/>
  <c r="M25" i="19"/>
  <c r="L25" i="19"/>
  <c r="M24" i="19"/>
  <c r="L24" i="19"/>
  <c r="M23" i="19"/>
  <c r="L23" i="19"/>
  <c r="M22" i="19"/>
  <c r="L22" i="19"/>
  <c r="M21" i="19"/>
  <c r="L21" i="19"/>
  <c r="M20" i="19"/>
  <c r="L20" i="19"/>
  <c r="M19" i="19"/>
  <c r="L19" i="19"/>
  <c r="M18" i="19"/>
  <c r="L18" i="19"/>
  <c r="M17" i="19"/>
  <c r="L17" i="19"/>
  <c r="M16" i="19"/>
  <c r="L16" i="19"/>
  <c r="M15" i="19"/>
  <c r="L15" i="19"/>
  <c r="K33" i="19"/>
  <c r="J33" i="19"/>
  <c r="K32" i="19"/>
  <c r="J32" i="19"/>
  <c r="K31" i="19"/>
  <c r="J31" i="19"/>
  <c r="K30" i="19"/>
  <c r="J30" i="19"/>
  <c r="K29" i="19"/>
  <c r="J29" i="19"/>
  <c r="K28" i="19"/>
  <c r="J28" i="19"/>
  <c r="K27" i="19"/>
  <c r="J27" i="19"/>
  <c r="K26" i="19"/>
  <c r="J26" i="19"/>
  <c r="K25" i="19"/>
  <c r="J25" i="19"/>
  <c r="K24" i="19"/>
  <c r="J24" i="19"/>
  <c r="K23" i="19"/>
  <c r="J23" i="19"/>
  <c r="K22" i="19"/>
  <c r="J22" i="19"/>
  <c r="K21" i="19"/>
  <c r="J21" i="19"/>
  <c r="K20" i="19"/>
  <c r="J20" i="19"/>
  <c r="K19" i="19"/>
  <c r="J19" i="19"/>
  <c r="K18" i="19"/>
  <c r="J18" i="19"/>
  <c r="K17" i="19"/>
  <c r="J17" i="19"/>
  <c r="K16" i="19"/>
  <c r="J16" i="19"/>
  <c r="K15" i="19"/>
  <c r="J15" i="19"/>
  <c r="I27" i="19"/>
  <c r="H27" i="19"/>
  <c r="I26" i="19"/>
  <c r="H26" i="19"/>
  <c r="I25" i="19"/>
  <c r="H25" i="19"/>
  <c r="I24" i="19"/>
  <c r="H24" i="19"/>
  <c r="I23" i="19"/>
  <c r="H23" i="19"/>
  <c r="I22" i="19"/>
  <c r="H22" i="19"/>
  <c r="I21" i="19"/>
  <c r="H21" i="19"/>
  <c r="I20" i="19"/>
  <c r="H20" i="19"/>
  <c r="I19" i="19"/>
  <c r="H19" i="19"/>
  <c r="I18" i="19"/>
  <c r="H18" i="19"/>
  <c r="I17" i="19"/>
  <c r="H17" i="19"/>
  <c r="I16" i="19"/>
  <c r="H16" i="19"/>
  <c r="I15" i="19"/>
  <c r="H15" i="19"/>
  <c r="G26" i="19"/>
  <c r="F26" i="19"/>
  <c r="G25" i="19"/>
  <c r="F25" i="19"/>
  <c r="G24" i="19"/>
  <c r="F24" i="19"/>
  <c r="G23" i="19"/>
  <c r="F23" i="19"/>
  <c r="G22" i="19"/>
  <c r="F22" i="19"/>
  <c r="G21" i="19"/>
  <c r="F21" i="19"/>
  <c r="G20" i="19"/>
  <c r="F20" i="19"/>
  <c r="G19" i="19"/>
  <c r="F19" i="19"/>
  <c r="G18" i="19"/>
  <c r="F18" i="19"/>
  <c r="G17" i="19"/>
  <c r="F17" i="19"/>
  <c r="G16" i="19"/>
  <c r="F16" i="19"/>
  <c r="G15" i="19"/>
  <c r="F15" i="19"/>
  <c r="H24" i="17"/>
  <c r="G24" i="17"/>
  <c r="H23" i="17"/>
  <c r="G23" i="17"/>
  <c r="I22" i="17"/>
  <c r="G22" i="17" s="1"/>
  <c r="H22" i="17"/>
  <c r="H21" i="17"/>
  <c r="G21" i="17"/>
  <c r="K20" i="17"/>
  <c r="I20" i="17"/>
  <c r="G20" i="17" s="1"/>
  <c r="H20" i="17"/>
  <c r="G95" i="9" l="1"/>
  <c r="G100" i="9"/>
  <c r="G105" i="9"/>
  <c r="G110" i="9"/>
  <c r="G115" i="9"/>
  <c r="U88" i="25" l="1"/>
  <c r="U87" i="25"/>
  <c r="U86" i="25"/>
  <c r="U85" i="25"/>
  <c r="I113" i="17"/>
  <c r="G113" i="17" s="1"/>
  <c r="H113" i="17"/>
  <c r="I93" i="17"/>
  <c r="G93" i="17" s="1"/>
  <c r="H93" i="17"/>
  <c r="I74" i="17"/>
  <c r="G74" i="17" s="1"/>
  <c r="R127" i="21" s="1"/>
  <c r="H74" i="17"/>
  <c r="U88" i="21"/>
  <c r="U87" i="21"/>
  <c r="U86" i="21"/>
  <c r="U85" i="21"/>
  <c r="R283" i="9"/>
  <c r="U88" i="22"/>
  <c r="U87" i="22"/>
  <c r="U86" i="22"/>
  <c r="U85" i="22"/>
  <c r="U95" i="24"/>
  <c r="U94" i="24"/>
  <c r="U93" i="24"/>
  <c r="M199" i="9"/>
  <c r="M196" i="9"/>
  <c r="M193" i="9"/>
  <c r="M190" i="9"/>
  <c r="M187" i="9"/>
  <c r="U87" i="9"/>
  <c r="U86" i="9"/>
  <c r="U85" i="9"/>
  <c r="U84" i="9"/>
  <c r="R295" i="9"/>
  <c r="R292" i="9"/>
  <c r="R289" i="9"/>
  <c r="R286" i="9"/>
  <c r="H108" i="17"/>
  <c r="G108" i="17"/>
  <c r="K88" i="25"/>
  <c r="K87" i="25"/>
  <c r="K86" i="25"/>
  <c r="K85" i="25"/>
  <c r="K88" i="21"/>
  <c r="K87" i="21"/>
  <c r="K86" i="21"/>
  <c r="K85" i="21"/>
  <c r="K88" i="22"/>
  <c r="K87" i="22"/>
  <c r="K86" i="22"/>
  <c r="K85" i="22"/>
  <c r="K89" i="23"/>
  <c r="K88" i="23"/>
  <c r="K87" i="23"/>
  <c r="K86" i="23"/>
  <c r="K95" i="24"/>
  <c r="K94" i="24"/>
  <c r="K93" i="24"/>
  <c r="K92" i="24"/>
  <c r="K87" i="9"/>
  <c r="K86" i="9"/>
  <c r="K85" i="9"/>
  <c r="K84" i="9"/>
  <c r="R30" i="25"/>
  <c r="R223" i="21"/>
  <c r="R211" i="21"/>
  <c r="R195" i="21"/>
  <c r="M191" i="21"/>
  <c r="M231" i="21"/>
  <c r="M219" i="21"/>
  <c r="M207" i="21"/>
  <c r="T227" i="22"/>
  <c r="R227" i="22" s="1"/>
  <c r="R214" i="22"/>
  <c r="M198" i="22"/>
  <c r="M223" i="22"/>
  <c r="M210" i="22"/>
  <c r="M235" i="23"/>
  <c r="M223" i="23"/>
  <c r="M211" i="23"/>
  <c r="R239" i="23"/>
  <c r="R215" i="23"/>
  <c r="R227" i="23"/>
  <c r="R203" i="23"/>
  <c r="M16" i="20"/>
  <c r="M15" i="20"/>
  <c r="M199" i="23"/>
  <c r="L200" i="23"/>
  <c r="K200" i="23" s="1"/>
  <c r="M136" i="25"/>
  <c r="G138" i="25"/>
  <c r="G135" i="25"/>
  <c r="G132" i="25"/>
  <c r="G129" i="25"/>
  <c r="G126" i="25"/>
  <c r="M139" i="21"/>
  <c r="M136" i="21"/>
  <c r="M133" i="21"/>
  <c r="M130" i="21"/>
  <c r="M127" i="21"/>
  <c r="R139" i="21"/>
  <c r="R136" i="21"/>
  <c r="R133" i="21"/>
  <c r="R130" i="21"/>
  <c r="G138" i="21"/>
  <c r="G135" i="21"/>
  <c r="G132" i="21"/>
  <c r="G129" i="21"/>
  <c r="G126" i="21"/>
  <c r="R146" i="22"/>
  <c r="R143" i="22"/>
  <c r="R140" i="22"/>
  <c r="R137" i="22"/>
  <c r="M146" i="22"/>
  <c r="M143" i="22"/>
  <c r="M140" i="22"/>
  <c r="M137" i="22"/>
  <c r="G145" i="22"/>
  <c r="G142" i="22"/>
  <c r="G139" i="22"/>
  <c r="G136" i="22"/>
  <c r="G133" i="22"/>
  <c r="R138" i="23"/>
  <c r="R141" i="23"/>
  <c r="R147" i="23"/>
  <c r="M138" i="23"/>
  <c r="M147" i="23"/>
  <c r="M144" i="23"/>
  <c r="M141" i="23"/>
  <c r="M135" i="23"/>
  <c r="G146" i="23"/>
  <c r="G143" i="23"/>
  <c r="G140" i="23"/>
  <c r="G137" i="23"/>
  <c r="G134" i="23"/>
  <c r="R199" i="9"/>
  <c r="R196" i="9"/>
  <c r="R193" i="9"/>
  <c r="R190" i="9"/>
  <c r="R146" i="24"/>
  <c r="R140" i="24"/>
  <c r="R137" i="24"/>
  <c r="R134" i="24"/>
  <c r="G145" i="24"/>
  <c r="G142" i="24"/>
  <c r="G139" i="24"/>
  <c r="G136" i="24"/>
  <c r="G133" i="24"/>
  <c r="H120" i="17"/>
  <c r="H119" i="17"/>
  <c r="H118" i="17"/>
  <c r="H117" i="17"/>
  <c r="H116" i="17"/>
  <c r="H115" i="17"/>
  <c r="H114" i="17"/>
  <c r="H112" i="17"/>
  <c r="H111" i="17"/>
  <c r="H110" i="17"/>
  <c r="H109" i="17"/>
  <c r="H107" i="17"/>
  <c r="H106" i="17"/>
  <c r="H100" i="17"/>
  <c r="H99" i="17"/>
  <c r="H98" i="17"/>
  <c r="H97" i="17"/>
  <c r="H96" i="17"/>
  <c r="H95" i="17"/>
  <c r="H94" i="17"/>
  <c r="H92" i="17"/>
  <c r="H91" i="17"/>
  <c r="H90" i="17"/>
  <c r="H89" i="17"/>
  <c r="H88" i="17"/>
  <c r="H87" i="17"/>
  <c r="H81" i="17"/>
  <c r="H80" i="17"/>
  <c r="H79" i="17"/>
  <c r="H78" i="17"/>
  <c r="H77" i="17"/>
  <c r="H76" i="17"/>
  <c r="H75" i="17"/>
  <c r="H73" i="17"/>
  <c r="H72" i="17"/>
  <c r="H71" i="17"/>
  <c r="H70" i="17"/>
  <c r="H69" i="17"/>
  <c r="H68" i="17"/>
  <c r="H53" i="17"/>
  <c r="H62" i="17"/>
  <c r="H61" i="17"/>
  <c r="H60" i="17"/>
  <c r="H59" i="17"/>
  <c r="H58" i="17"/>
  <c r="H57" i="17"/>
  <c r="H56" i="17"/>
  <c r="H55" i="17"/>
  <c r="H54" i="17"/>
  <c r="H52" i="17"/>
  <c r="H51" i="17"/>
  <c r="H50" i="17"/>
  <c r="H49" i="17"/>
  <c r="H48" i="17"/>
  <c r="H42" i="17"/>
  <c r="H41" i="17"/>
  <c r="H40" i="17"/>
  <c r="H39" i="17"/>
  <c r="H38" i="17"/>
  <c r="H37" i="17"/>
  <c r="H36" i="17"/>
  <c r="H35" i="17"/>
  <c r="H34" i="17"/>
  <c r="H33" i="17"/>
  <c r="G41" i="17"/>
  <c r="G36" i="17"/>
  <c r="G35" i="17"/>
  <c r="G34" i="17"/>
  <c r="G33" i="17"/>
  <c r="G120" i="17"/>
  <c r="G119" i="17"/>
  <c r="G118" i="17"/>
  <c r="G117" i="17"/>
  <c r="G116" i="17"/>
  <c r="G115" i="17"/>
  <c r="G114" i="17"/>
  <c r="G112" i="17"/>
  <c r="G111" i="17"/>
  <c r="G110" i="17"/>
  <c r="G109" i="17"/>
  <c r="G106" i="17"/>
  <c r="G100" i="17"/>
  <c r="G99" i="17"/>
  <c r="G98" i="17"/>
  <c r="G97" i="17"/>
  <c r="G96" i="17"/>
  <c r="G95" i="17"/>
  <c r="G94" i="17"/>
  <c r="G92" i="17"/>
  <c r="G91" i="17"/>
  <c r="G90" i="17"/>
  <c r="G89" i="17"/>
  <c r="G87" i="17"/>
  <c r="G81" i="17"/>
  <c r="G80" i="17"/>
  <c r="G79" i="17"/>
  <c r="G78" i="17"/>
  <c r="G77" i="17"/>
  <c r="G76" i="17"/>
  <c r="G75" i="17"/>
  <c r="G73" i="17"/>
  <c r="G72" i="17"/>
  <c r="G71" i="17"/>
  <c r="G70" i="17"/>
  <c r="G68" i="17"/>
  <c r="G62" i="17"/>
  <c r="G61" i="17"/>
  <c r="G60" i="17"/>
  <c r="G59" i="17"/>
  <c r="G58" i="17"/>
  <c r="G57" i="17"/>
  <c r="G56" i="17"/>
  <c r="G55" i="17"/>
  <c r="G54" i="17"/>
  <c r="G52" i="17"/>
  <c r="R134" i="22" s="1"/>
  <c r="G51" i="17"/>
  <c r="G50" i="17"/>
  <c r="G48" i="17"/>
  <c r="I53" i="17"/>
  <c r="G53" i="17" s="1"/>
  <c r="I42" i="17"/>
  <c r="G42" i="17" s="1"/>
  <c r="I107" i="17"/>
  <c r="G107" i="17" s="1"/>
  <c r="I88" i="17"/>
  <c r="G88" i="17" s="1"/>
  <c r="I69" i="17"/>
  <c r="G69" i="17" s="1"/>
  <c r="I49" i="17"/>
  <c r="G49" i="17" s="1"/>
  <c r="I40" i="17"/>
  <c r="G40" i="17" s="1"/>
  <c r="G186" i="9"/>
  <c r="G198" i="9"/>
  <c r="G195" i="9"/>
  <c r="G192" i="9"/>
  <c r="G189" i="9"/>
  <c r="X53" i="9"/>
  <c r="U443" i="25"/>
  <c r="U464" i="24"/>
  <c r="U533" i="9"/>
  <c r="D289" i="25"/>
  <c r="D288" i="25"/>
  <c r="D286" i="25"/>
  <c r="D285" i="25"/>
  <c r="D283" i="25"/>
  <c r="D282" i="25"/>
  <c r="D280" i="25"/>
  <c r="D279" i="25"/>
  <c r="D277" i="25"/>
  <c r="D276" i="25"/>
  <c r="D317" i="21"/>
  <c r="D316" i="21"/>
  <c r="D314" i="21"/>
  <c r="D313" i="21"/>
  <c r="D311" i="21"/>
  <c r="D310" i="21"/>
  <c r="D308" i="21"/>
  <c r="D307" i="21"/>
  <c r="D305" i="21"/>
  <c r="D304" i="21"/>
  <c r="D309" i="22"/>
  <c r="D308" i="22"/>
  <c r="D306" i="22"/>
  <c r="D305" i="22"/>
  <c r="D303" i="22"/>
  <c r="D302" i="22"/>
  <c r="D300" i="22"/>
  <c r="D299" i="22"/>
  <c r="D297" i="22"/>
  <c r="D296" i="22"/>
  <c r="D321" i="23"/>
  <c r="D320" i="23"/>
  <c r="D318" i="23"/>
  <c r="D317" i="23"/>
  <c r="D315" i="23"/>
  <c r="D314" i="23"/>
  <c r="D312" i="23"/>
  <c r="D311" i="23"/>
  <c r="D309" i="23"/>
  <c r="D308" i="23"/>
  <c r="D314" i="24"/>
  <c r="D313" i="24"/>
  <c r="D311" i="24"/>
  <c r="D310" i="24"/>
  <c r="D308" i="24"/>
  <c r="D307" i="24"/>
  <c r="D305" i="24"/>
  <c r="D304" i="24"/>
  <c r="D302" i="24"/>
  <c r="D301" i="24"/>
  <c r="L225" i="24"/>
  <c r="R205" i="23" l="1"/>
  <c r="R199" i="23" s="1"/>
  <c r="D440" i="9"/>
  <c r="D439" i="9"/>
  <c r="D437" i="9"/>
  <c r="D436" i="9"/>
  <c r="D434" i="9"/>
  <c r="D433" i="9"/>
  <c r="D431" i="9"/>
  <c r="D430" i="9"/>
  <c r="D428" i="9"/>
  <c r="D427" i="9"/>
  <c r="T9" i="26"/>
  <c r="U9" i="26" s="1"/>
  <c r="V9" i="26" l="1"/>
  <c r="X9" i="26"/>
  <c r="Y9" i="26"/>
  <c r="W9" i="26"/>
  <c r="Z9" i="26"/>
  <c r="R169" i="21"/>
  <c r="R34" i="25"/>
  <c r="R32" i="25"/>
  <c r="C117" i="23"/>
  <c r="R33" i="23"/>
  <c r="D321" i="24"/>
  <c r="R30" i="24"/>
  <c r="R32" i="24"/>
  <c r="D447" i="9"/>
  <c r="T84" i="9"/>
  <c r="T85" i="9"/>
  <c r="T86" i="9"/>
  <c r="T87" i="9"/>
  <c r="C95" i="9"/>
  <c r="D80" i="9"/>
  <c r="R32" i="9"/>
  <c r="R32" i="22"/>
  <c r="R184" i="25"/>
  <c r="R176" i="25"/>
  <c r="R168" i="25"/>
  <c r="R160" i="25"/>
  <c r="R159" i="25"/>
  <c r="R153" i="25" l="1"/>
  <c r="R152" i="25"/>
  <c r="L232" i="21"/>
  <c r="K232" i="21" s="1"/>
  <c r="T237" i="21" s="1"/>
  <c r="R237" i="21" s="1"/>
  <c r="L220" i="21"/>
  <c r="K220" i="21" s="1"/>
  <c r="T225" i="21" s="1"/>
  <c r="R225" i="21" s="1"/>
  <c r="L208" i="21"/>
  <c r="K208" i="21" s="1"/>
  <c r="T213" i="21" s="1"/>
  <c r="R213" i="21" s="1"/>
  <c r="L192" i="21"/>
  <c r="K192" i="21" s="1"/>
  <c r="R184" i="21"/>
  <c r="R177" i="21"/>
  <c r="R176" i="21"/>
  <c r="R175" i="21"/>
  <c r="R168" i="21"/>
  <c r="R167" i="21"/>
  <c r="R161" i="21"/>
  <c r="R160" i="21"/>
  <c r="R159" i="21"/>
  <c r="R153" i="21"/>
  <c r="R152" i="21"/>
  <c r="L224" i="22"/>
  <c r="L211" i="22"/>
  <c r="R192" i="22"/>
  <c r="R191" i="22"/>
  <c r="R184" i="22"/>
  <c r="R183" i="22"/>
  <c r="R182" i="22"/>
  <c r="R176" i="22"/>
  <c r="R174" i="22"/>
  <c r="R168" i="22"/>
  <c r="R167" i="22"/>
  <c r="R166" i="22"/>
  <c r="R160" i="22"/>
  <c r="R159" i="22"/>
  <c r="L236" i="23"/>
  <c r="K236" i="23" s="1"/>
  <c r="T241" i="23" s="1"/>
  <c r="L224" i="23"/>
  <c r="T229" i="23" s="1"/>
  <c r="R229" i="23" s="1"/>
  <c r="L212" i="23"/>
  <c r="K212" i="23" s="1"/>
  <c r="T217" i="23" s="1"/>
  <c r="R217" i="23" s="1"/>
  <c r="R185" i="23"/>
  <c r="R184" i="23"/>
  <c r="R183" i="23"/>
  <c r="R177" i="23"/>
  <c r="R176" i="23"/>
  <c r="R175" i="23"/>
  <c r="R169" i="23"/>
  <c r="R168" i="23"/>
  <c r="T197" i="21" l="1"/>
  <c r="R197" i="21" s="1"/>
  <c r="K225" i="24"/>
  <c r="T230" i="24" s="1"/>
  <c r="R230" i="24" s="1"/>
  <c r="R192" i="24"/>
  <c r="R191" i="24"/>
  <c r="R184" i="24"/>
  <c r="R183" i="24"/>
  <c r="R178" i="24"/>
  <c r="R182" i="24"/>
  <c r="R176" i="24"/>
  <c r="R175" i="24"/>
  <c r="R168" i="24"/>
  <c r="R167" i="24"/>
  <c r="R166" i="24"/>
  <c r="X313" i="9"/>
  <c r="X48" i="9"/>
  <c r="T345" i="9"/>
  <c r="G2" i="26"/>
  <c r="G2" i="21"/>
  <c r="S498" i="9"/>
  <c r="S499" i="9"/>
  <c r="S494" i="9"/>
  <c r="Y243" i="9"/>
  <c r="X243" i="9"/>
  <c r="B240" i="9"/>
  <c r="Y235" i="9"/>
  <c r="X235" i="9"/>
  <c r="B232" i="9"/>
  <c r="Y227" i="9"/>
  <c r="X227" i="9"/>
  <c r="B224" i="9"/>
  <c r="Y219" i="9"/>
  <c r="X219" i="9"/>
  <c r="B216" i="9"/>
  <c r="Y211" i="9"/>
  <c r="X211" i="9"/>
  <c r="B208" i="9"/>
  <c r="C116" i="25"/>
  <c r="C116" i="21"/>
  <c r="C116" i="22"/>
  <c r="C123" i="24"/>
  <c r="C115" i="9"/>
  <c r="U409" i="26"/>
  <c r="U413" i="26"/>
  <c r="U412" i="26"/>
  <c r="U411" i="26"/>
  <c r="U410" i="26"/>
  <c r="D5" i="26"/>
  <c r="D4" i="26"/>
  <c r="D4" i="25"/>
  <c r="D4" i="21"/>
  <c r="D4" i="22"/>
  <c r="D4" i="24"/>
  <c r="D4" i="9"/>
  <c r="D5" i="23"/>
  <c r="D4" i="23"/>
  <c r="G5" i="26"/>
  <c r="G5" i="23"/>
  <c r="D27" i="28" l="1"/>
  <c r="D23" i="28"/>
  <c r="C21" i="28"/>
  <c r="G4" i="26" l="1"/>
  <c r="G4" i="25"/>
  <c r="G4" i="21"/>
  <c r="G4" i="22"/>
  <c r="C27" i="28"/>
  <c r="C26" i="28"/>
  <c r="V26" i="28" s="1"/>
  <c r="C25" i="28"/>
  <c r="C24" i="28"/>
  <c r="C23" i="28"/>
  <c r="G4" i="23"/>
  <c r="G4" i="24"/>
  <c r="C22" i="28"/>
  <c r="G4" i="9"/>
  <c r="C39" i="9" s="1"/>
  <c r="K184" i="21"/>
  <c r="K176" i="21"/>
  <c r="K168" i="21"/>
  <c r="K160" i="21"/>
  <c r="K159" i="21"/>
  <c r="K159" i="22"/>
  <c r="K192" i="23"/>
  <c r="K184" i="23"/>
  <c r="K176" i="23"/>
  <c r="K168" i="23"/>
  <c r="Z139" i="9"/>
  <c r="V87" i="9"/>
  <c r="V86" i="9"/>
  <c r="V85" i="9"/>
  <c r="V84" i="9"/>
  <c r="R87" i="9" l="1"/>
  <c r="N22" i="28"/>
  <c r="AD48" i="9"/>
  <c r="L27" i="28"/>
  <c r="F27" i="28"/>
  <c r="G27" i="28" s="1"/>
  <c r="N25" i="28"/>
  <c r="N26" i="28"/>
  <c r="U25" i="28"/>
  <c r="V25" i="28"/>
  <c r="N21" i="28"/>
  <c r="P27" i="28"/>
  <c r="U27" i="28"/>
  <c r="N27" i="28"/>
  <c r="H27" i="28"/>
  <c r="J27" i="28"/>
  <c r="V27" i="28"/>
  <c r="S403" i="26"/>
  <c r="S436" i="25"/>
  <c r="S435" i="25"/>
  <c r="S434" i="25"/>
  <c r="S431" i="25"/>
  <c r="S430" i="25"/>
  <c r="S425" i="25"/>
  <c r="S424" i="25"/>
  <c r="S423" i="25"/>
  <c r="S422" i="25"/>
  <c r="S419" i="25"/>
  <c r="S418" i="25"/>
  <c r="S415" i="25"/>
  <c r="S414" i="25"/>
  <c r="S410" i="25"/>
  <c r="S403" i="25"/>
  <c r="S447" i="21"/>
  <c r="S446" i="21"/>
  <c r="S445" i="21"/>
  <c r="S442" i="21"/>
  <c r="S441" i="21"/>
  <c r="S436" i="21"/>
  <c r="S435" i="21"/>
  <c r="S434" i="21"/>
  <c r="S433" i="21"/>
  <c r="S432" i="21"/>
  <c r="S431" i="21"/>
  <c r="Y434" i="21"/>
  <c r="S430" i="21"/>
  <c r="S427" i="21"/>
  <c r="S426" i="21"/>
  <c r="S423" i="21"/>
  <c r="S422" i="21"/>
  <c r="S418" i="21"/>
  <c r="S411" i="21"/>
  <c r="S445" i="22"/>
  <c r="S444" i="22"/>
  <c r="S443" i="22"/>
  <c r="S440" i="22"/>
  <c r="S439" i="22"/>
  <c r="S434" i="22"/>
  <c r="S433" i="22"/>
  <c r="S432" i="22"/>
  <c r="S430" i="22"/>
  <c r="S431" i="22"/>
  <c r="S429" i="22"/>
  <c r="S426" i="22"/>
  <c r="S425" i="22"/>
  <c r="AH279" i="21"/>
  <c r="AH274" i="21"/>
  <c r="AH56" i="21"/>
  <c r="AH21" i="21"/>
  <c r="AH286" i="24"/>
  <c r="AH281" i="24"/>
  <c r="AH276" i="24"/>
  <c r="AH271" i="24"/>
  <c r="AH266" i="24"/>
  <c r="AH123" i="24"/>
  <c r="AH118" i="24"/>
  <c r="AH113" i="24"/>
  <c r="AH108" i="24"/>
  <c r="AH103" i="24"/>
  <c r="AH83" i="24"/>
  <c r="AH78" i="24"/>
  <c r="AH73" i="24"/>
  <c r="AH68" i="24"/>
  <c r="AH63" i="24"/>
  <c r="AH21" i="24"/>
  <c r="AH16" i="24"/>
  <c r="AH11" i="24"/>
  <c r="AH293" i="23"/>
  <c r="AH288" i="23"/>
  <c r="AH283" i="23"/>
  <c r="AH278" i="23"/>
  <c r="AH273" i="23"/>
  <c r="AH117" i="23"/>
  <c r="AH112" i="23"/>
  <c r="AH107" i="23"/>
  <c r="AH102" i="23"/>
  <c r="AH97" i="23"/>
  <c r="AH77" i="23"/>
  <c r="AH72" i="23"/>
  <c r="AH67" i="23"/>
  <c r="AH62" i="23"/>
  <c r="AH57" i="23"/>
  <c r="AH22" i="23"/>
  <c r="AH17" i="23"/>
  <c r="AH12" i="23"/>
  <c r="S422" i="22"/>
  <c r="S421" i="22"/>
  <c r="S417" i="22"/>
  <c r="S410" i="22"/>
  <c r="S422" i="24"/>
  <c r="S421" i="24"/>
  <c r="S417" i="24"/>
  <c r="S437" i="24"/>
  <c r="S436" i="24"/>
  <c r="S435" i="24"/>
  <c r="S432" i="24"/>
  <c r="S431" i="24"/>
  <c r="S426" i="24"/>
  <c r="S425" i="24"/>
  <c r="S418" i="24"/>
  <c r="S416" i="24"/>
  <c r="S412" i="24"/>
  <c r="S405" i="24"/>
  <c r="S448" i="23"/>
  <c r="S447" i="23"/>
  <c r="S446" i="23"/>
  <c r="S443" i="23"/>
  <c r="S442" i="23"/>
  <c r="S437" i="23"/>
  <c r="S436" i="23"/>
  <c r="S435" i="23"/>
  <c r="S434" i="23"/>
  <c r="S433" i="23"/>
  <c r="S432" i="23"/>
  <c r="S429" i="23"/>
  <c r="S427" i="23"/>
  <c r="S424" i="23"/>
  <c r="S412" i="23"/>
  <c r="Y482" i="23"/>
  <c r="S423" i="23"/>
  <c r="S419" i="23"/>
  <c r="S523" i="9"/>
  <c r="S522" i="9"/>
  <c r="S521" i="9"/>
  <c r="S518" i="9"/>
  <c r="S517" i="9"/>
  <c r="S516" i="9"/>
  <c r="S511" i="9"/>
  <c r="S510" i="9"/>
  <c r="S509" i="9"/>
  <c r="S506" i="9"/>
  <c r="S491" i="9"/>
  <c r="S488" i="9"/>
  <c r="S487" i="9"/>
  <c r="S486" i="9"/>
  <c r="S483" i="9"/>
  <c r="S496" i="9"/>
  <c r="S495" i="9"/>
  <c r="S493" i="9"/>
  <c r="S492" i="9"/>
  <c r="S482" i="9"/>
  <c r="S478" i="9"/>
  <c r="S471" i="9"/>
  <c r="M11" i="26"/>
  <c r="M9" i="26"/>
  <c r="M302" i="25"/>
  <c r="AH256" i="25"/>
  <c r="AH251" i="25"/>
  <c r="AH246" i="25"/>
  <c r="AH241" i="25"/>
  <c r="M215" i="25"/>
  <c r="M213" i="25"/>
  <c r="R139" i="25"/>
  <c r="M139" i="25"/>
  <c r="R136" i="25"/>
  <c r="R133" i="25"/>
  <c r="M133" i="25"/>
  <c r="R130" i="25"/>
  <c r="M130" i="25"/>
  <c r="R127" i="25"/>
  <c r="AH116" i="25"/>
  <c r="AH111" i="25"/>
  <c r="AH106" i="25"/>
  <c r="AH101" i="25"/>
  <c r="AH96" i="25"/>
  <c r="K89" i="25"/>
  <c r="AH76" i="25"/>
  <c r="AH71" i="25"/>
  <c r="AH66" i="25"/>
  <c r="AH61" i="25"/>
  <c r="AH56" i="25"/>
  <c r="AH21" i="25"/>
  <c r="AH16" i="25"/>
  <c r="AH11" i="25"/>
  <c r="M331" i="21"/>
  <c r="AH289" i="21"/>
  <c r="AH284" i="21"/>
  <c r="AH269" i="21"/>
  <c r="M243" i="21"/>
  <c r="M241" i="21"/>
  <c r="R235" i="21"/>
  <c r="K199" i="21"/>
  <c r="AH116" i="21"/>
  <c r="AH111" i="21"/>
  <c r="AH106" i="21"/>
  <c r="AH101" i="21"/>
  <c r="AH96" i="21"/>
  <c r="K89" i="21"/>
  <c r="AH76" i="21"/>
  <c r="AH71" i="21"/>
  <c r="AH66" i="21"/>
  <c r="AH61" i="21"/>
  <c r="AH16" i="21"/>
  <c r="AH11" i="21"/>
  <c r="M322" i="22"/>
  <c r="AH281" i="22"/>
  <c r="AH276" i="22"/>
  <c r="AH271" i="22"/>
  <c r="AH266" i="22"/>
  <c r="AH261" i="22"/>
  <c r="M235" i="22"/>
  <c r="M233" i="22"/>
  <c r="AH116" i="22"/>
  <c r="AH111" i="22"/>
  <c r="AH106" i="22"/>
  <c r="AH101" i="22"/>
  <c r="AH96" i="22"/>
  <c r="K89" i="22"/>
  <c r="AH76" i="22"/>
  <c r="AH71" i="22"/>
  <c r="AH66" i="22"/>
  <c r="AH61" i="22"/>
  <c r="AH56" i="22"/>
  <c r="AH21" i="22"/>
  <c r="AH16" i="22"/>
  <c r="AH11" i="22"/>
  <c r="M327" i="24"/>
  <c r="M240" i="24"/>
  <c r="M238" i="24"/>
  <c r="K232" i="24"/>
  <c r="R228" i="24"/>
  <c r="R224" i="24" s="1"/>
  <c r="R143" i="24"/>
  <c r="K96" i="24"/>
  <c r="M334" i="23"/>
  <c r="M247" i="23"/>
  <c r="M245" i="23"/>
  <c r="R144" i="23"/>
  <c r="K90" i="23"/>
  <c r="M453" i="9"/>
  <c r="M366" i="9"/>
  <c r="M253" i="9"/>
  <c r="M251" i="9"/>
  <c r="K179" i="9"/>
  <c r="K88" i="9"/>
  <c r="AH261" i="25"/>
  <c r="U125" i="22"/>
  <c r="T125" i="22"/>
  <c r="U126" i="23"/>
  <c r="R31" i="24"/>
  <c r="Y413" i="24" s="1"/>
  <c r="M39" i="17"/>
  <c r="G39" i="17" s="1"/>
  <c r="M38" i="17"/>
  <c r="G38" i="17" s="1"/>
  <c r="M37" i="17"/>
  <c r="G37" i="17" s="1"/>
  <c r="R171" i="9" l="1"/>
  <c r="Y509" i="9"/>
  <c r="Y422" i="25"/>
  <c r="Y430" i="21"/>
  <c r="V125" i="22"/>
  <c r="R125" i="22" s="1"/>
  <c r="Y429" i="22" s="1"/>
  <c r="Y430" i="22"/>
  <c r="T215" i="25" l="1"/>
  <c r="T213" i="25"/>
  <c r="R211" i="25"/>
  <c r="T302" i="25"/>
  <c r="R300" i="25"/>
  <c r="K289" i="25"/>
  <c r="R289" i="25" s="1"/>
  <c r="K288" i="25"/>
  <c r="R288" i="25" s="1"/>
  <c r="K286" i="25"/>
  <c r="R286" i="25" s="1"/>
  <c r="K285" i="25"/>
  <c r="R285" i="25" s="1"/>
  <c r="K283" i="25"/>
  <c r="R283" i="25" s="1"/>
  <c r="K282" i="25"/>
  <c r="R282" i="25" s="1"/>
  <c r="K280" i="25"/>
  <c r="R280" i="25" s="1"/>
  <c r="K279" i="25"/>
  <c r="R279" i="25" s="1"/>
  <c r="K277" i="25"/>
  <c r="R277" i="25" s="1"/>
  <c r="K276" i="25"/>
  <c r="Y261" i="25"/>
  <c r="AC261" i="25" s="1"/>
  <c r="X261" i="25"/>
  <c r="AD261" i="25" s="1"/>
  <c r="AJ261" i="25"/>
  <c r="AI261" i="25"/>
  <c r="H261" i="25"/>
  <c r="Y256" i="25"/>
  <c r="AC256" i="25" s="1"/>
  <c r="X256" i="25"/>
  <c r="AD256" i="25" s="1"/>
  <c r="AJ256" i="25"/>
  <c r="H256" i="25"/>
  <c r="Y251" i="25"/>
  <c r="AC251" i="25" s="1"/>
  <c r="X251" i="25"/>
  <c r="AD251" i="25" s="1"/>
  <c r="AJ251" i="25"/>
  <c r="H251" i="25"/>
  <c r="Y246" i="25"/>
  <c r="AC246" i="25" s="1"/>
  <c r="X246" i="25"/>
  <c r="AD246" i="25" s="1"/>
  <c r="AJ246" i="25"/>
  <c r="H246" i="25"/>
  <c r="Y241" i="25"/>
  <c r="AC241" i="25" s="1"/>
  <c r="X241" i="25"/>
  <c r="AJ241" i="25"/>
  <c r="H241" i="25"/>
  <c r="T234" i="25"/>
  <c r="R234" i="25" s="1"/>
  <c r="T230" i="25"/>
  <c r="R230" i="25" s="1"/>
  <c r="T226" i="25"/>
  <c r="R226" i="25" s="1"/>
  <c r="T205" i="25"/>
  <c r="T201" i="25"/>
  <c r="R201" i="25" s="1"/>
  <c r="T194" i="25"/>
  <c r="T190" i="25"/>
  <c r="R190" i="25" s="1"/>
  <c r="Y181" i="25"/>
  <c r="X181" i="25"/>
  <c r="B178" i="25"/>
  <c r="Y173" i="25"/>
  <c r="X173" i="25"/>
  <c r="B170" i="25"/>
  <c r="Y165" i="25"/>
  <c r="X165" i="25"/>
  <c r="B162" i="25"/>
  <c r="Y157" i="25"/>
  <c r="X157" i="25"/>
  <c r="B154" i="25"/>
  <c r="Y149" i="25"/>
  <c r="X149" i="25"/>
  <c r="B146" i="25"/>
  <c r="Y116" i="25"/>
  <c r="AC116" i="25" s="1"/>
  <c r="AJ116" i="25"/>
  <c r="G116" i="25"/>
  <c r="D116" i="25"/>
  <c r="H116" i="25" s="1"/>
  <c r="B115" i="25"/>
  <c r="Y111" i="25"/>
  <c r="AC111" i="25" s="1"/>
  <c r="AJ111" i="25"/>
  <c r="D111" i="25"/>
  <c r="C111" i="25"/>
  <c r="B110" i="25"/>
  <c r="Y106" i="25"/>
  <c r="AC106" i="25" s="1"/>
  <c r="AJ106" i="25"/>
  <c r="D106" i="25"/>
  <c r="H106" i="25" s="1"/>
  <c r="C106" i="25"/>
  <c r="B105" i="25"/>
  <c r="Y101" i="25"/>
  <c r="AJ101" i="25"/>
  <c r="D101" i="25"/>
  <c r="H101" i="25" s="1"/>
  <c r="C101" i="25"/>
  <c r="B100" i="25"/>
  <c r="Y96" i="25"/>
  <c r="AC96" i="25" s="1"/>
  <c r="AJ96" i="25"/>
  <c r="G96" i="25"/>
  <c r="D96" i="25"/>
  <c r="H96" i="25" s="1"/>
  <c r="C96" i="25"/>
  <c r="B95" i="25"/>
  <c r="Y76" i="25"/>
  <c r="AC76" i="25" s="1"/>
  <c r="X76" i="25"/>
  <c r="AJ76" i="25"/>
  <c r="H76" i="25"/>
  <c r="Y71" i="25"/>
  <c r="AC71" i="25" s="1"/>
  <c r="X71" i="25"/>
  <c r="AJ71" i="25"/>
  <c r="H71" i="25"/>
  <c r="Y66" i="25"/>
  <c r="X66" i="25"/>
  <c r="AJ66" i="25"/>
  <c r="H66" i="25"/>
  <c r="Y61" i="25"/>
  <c r="AC61" i="25" s="1"/>
  <c r="X61" i="25"/>
  <c r="AJ61" i="25"/>
  <c r="H61" i="25"/>
  <c r="Y56" i="25"/>
  <c r="AC56" i="25" s="1"/>
  <c r="X56" i="25"/>
  <c r="AJ56" i="25"/>
  <c r="H56" i="25"/>
  <c r="U48" i="25"/>
  <c r="T48" i="25"/>
  <c r="V48" i="25" s="1"/>
  <c r="U44" i="25"/>
  <c r="T44" i="25"/>
  <c r="V44" i="25" s="1"/>
  <c r="U40" i="25"/>
  <c r="T40" i="25"/>
  <c r="V40" i="25" s="1"/>
  <c r="Y413" i="25"/>
  <c r="Y412" i="25"/>
  <c r="R31" i="25"/>
  <c r="Y411" i="25" s="1"/>
  <c r="Y450" i="25"/>
  <c r="Y449" i="25" s="1"/>
  <c r="U26" i="28" s="1"/>
  <c r="G26" i="25"/>
  <c r="Y21" i="25"/>
  <c r="AC21" i="25" s="1"/>
  <c r="X21" i="25"/>
  <c r="AD21" i="25" s="1"/>
  <c r="AJ21" i="25"/>
  <c r="Y16" i="25"/>
  <c r="AC16" i="25" s="1"/>
  <c r="X16" i="25"/>
  <c r="AD16" i="25" s="1"/>
  <c r="AJ16" i="25"/>
  <c r="Y11" i="25"/>
  <c r="AC11" i="25" s="1"/>
  <c r="X11" i="25"/>
  <c r="AD11" i="25" s="1"/>
  <c r="AJ11" i="25"/>
  <c r="T243" i="21"/>
  <c r="T241" i="21"/>
  <c r="R239" i="21"/>
  <c r="T331" i="21"/>
  <c r="R328" i="21"/>
  <c r="K317" i="21"/>
  <c r="R317" i="21" s="1"/>
  <c r="K316" i="21"/>
  <c r="R316" i="21" s="1"/>
  <c r="K314" i="21"/>
  <c r="R314" i="21" s="1"/>
  <c r="K313" i="21"/>
  <c r="R313" i="21" s="1"/>
  <c r="K311" i="21"/>
  <c r="R311" i="21" s="1"/>
  <c r="K310" i="21"/>
  <c r="R310" i="21" s="1"/>
  <c r="K308" i="21"/>
  <c r="R308" i="21" s="1"/>
  <c r="K307" i="21"/>
  <c r="R307" i="21" s="1"/>
  <c r="K305" i="21"/>
  <c r="R305" i="21" s="1"/>
  <c r="K304" i="21"/>
  <c r="R304" i="21" s="1"/>
  <c r="Y289" i="21"/>
  <c r="AC289" i="21" s="1"/>
  <c r="X289" i="21"/>
  <c r="AD289" i="21" s="1"/>
  <c r="AJ289" i="21"/>
  <c r="H289" i="21"/>
  <c r="Y284" i="21"/>
  <c r="AC284" i="21" s="1"/>
  <c r="X284" i="21"/>
  <c r="AD284" i="21" s="1"/>
  <c r="AJ284" i="21"/>
  <c r="H284" i="21"/>
  <c r="Y279" i="21"/>
  <c r="AC279" i="21" s="1"/>
  <c r="X279" i="21"/>
  <c r="AD279" i="21" s="1"/>
  <c r="AJ279" i="21"/>
  <c r="H279" i="21"/>
  <c r="Y274" i="21"/>
  <c r="AC274" i="21" s="1"/>
  <c r="X274" i="21"/>
  <c r="AD274" i="21" s="1"/>
  <c r="AJ274" i="21"/>
  <c r="H274" i="21"/>
  <c r="Y269" i="21"/>
  <c r="AC269" i="21" s="1"/>
  <c r="X269" i="21"/>
  <c r="AJ269" i="21"/>
  <c r="H269" i="21"/>
  <c r="T262" i="21"/>
  <c r="T258" i="21"/>
  <c r="T254" i="21"/>
  <c r="R199" i="21"/>
  <c r="Y433" i="21" s="1"/>
  <c r="Y181" i="21"/>
  <c r="X181" i="21"/>
  <c r="B178" i="21"/>
  <c r="Y173" i="21"/>
  <c r="X173" i="21"/>
  <c r="B170" i="21"/>
  <c r="Y165" i="21"/>
  <c r="X165" i="21"/>
  <c r="B162" i="21"/>
  <c r="Y157" i="21"/>
  <c r="X157" i="21"/>
  <c r="B154" i="21"/>
  <c r="Y149" i="21"/>
  <c r="X149" i="21"/>
  <c r="B146" i="21"/>
  <c r="Y116" i="21"/>
  <c r="AC116" i="21" s="1"/>
  <c r="AJ116" i="21"/>
  <c r="G116" i="21"/>
  <c r="D116" i="21"/>
  <c r="H116" i="21" s="1"/>
  <c r="B115" i="21"/>
  <c r="Y111" i="21"/>
  <c r="AC111" i="21" s="1"/>
  <c r="AJ111" i="21"/>
  <c r="D111" i="21"/>
  <c r="C111" i="21"/>
  <c r="B110" i="21"/>
  <c r="Y106" i="21"/>
  <c r="AC106" i="21" s="1"/>
  <c r="AJ106" i="21"/>
  <c r="D106" i="21"/>
  <c r="H106" i="21" s="1"/>
  <c r="C106" i="21"/>
  <c r="B105" i="21"/>
  <c r="Y101" i="21"/>
  <c r="AC101" i="21" s="1"/>
  <c r="AJ101" i="21"/>
  <c r="D101" i="21"/>
  <c r="H101" i="21" s="1"/>
  <c r="C101" i="21"/>
  <c r="B100" i="21"/>
  <c r="Y96" i="21"/>
  <c r="AC96" i="21" s="1"/>
  <c r="AJ96" i="21"/>
  <c r="G96" i="21"/>
  <c r="D96" i="21"/>
  <c r="H96" i="21" s="1"/>
  <c r="C96" i="21"/>
  <c r="B95" i="21"/>
  <c r="Y76" i="21"/>
  <c r="AC76" i="21" s="1"/>
  <c r="X76" i="21"/>
  <c r="AJ76" i="21"/>
  <c r="H76" i="21"/>
  <c r="Y71" i="21"/>
  <c r="AC71" i="21" s="1"/>
  <c r="X71" i="21"/>
  <c r="AJ71" i="21"/>
  <c r="H71" i="21"/>
  <c r="Y66" i="21"/>
  <c r="AC66" i="21" s="1"/>
  <c r="X66" i="21"/>
  <c r="AJ66" i="21"/>
  <c r="H66" i="21"/>
  <c r="Y61" i="21"/>
  <c r="AC61" i="21" s="1"/>
  <c r="X61" i="21"/>
  <c r="AJ61" i="21"/>
  <c r="H61" i="21"/>
  <c r="Y56" i="21"/>
  <c r="AC56" i="21" s="1"/>
  <c r="X56" i="21"/>
  <c r="AJ56" i="21"/>
  <c r="H56" i="21"/>
  <c r="U48" i="21"/>
  <c r="T48" i="21"/>
  <c r="V48" i="21" s="1"/>
  <c r="U44" i="21"/>
  <c r="T44" i="21"/>
  <c r="V44" i="21" s="1"/>
  <c r="U40" i="21"/>
  <c r="T40" i="21"/>
  <c r="V40" i="21" s="1"/>
  <c r="R34" i="21"/>
  <c r="Y421" i="21" s="1"/>
  <c r="R32" i="21"/>
  <c r="Y420" i="21" s="1"/>
  <c r="R31" i="21"/>
  <c r="Y419" i="21" s="1"/>
  <c r="R30" i="21"/>
  <c r="Y476" i="21" s="1"/>
  <c r="Y475" i="21" s="1"/>
  <c r="G26" i="21"/>
  <c r="AD21" i="21"/>
  <c r="AC21" i="21"/>
  <c r="Y21" i="21"/>
  <c r="X21" i="21"/>
  <c r="AJ21" i="21"/>
  <c r="AD16" i="21"/>
  <c r="AC16" i="21"/>
  <c r="Y16" i="21"/>
  <c r="X16" i="21"/>
  <c r="AJ16" i="21"/>
  <c r="Y11" i="21"/>
  <c r="AC11" i="21" s="1"/>
  <c r="X11" i="21"/>
  <c r="AJ11" i="21"/>
  <c r="T322" i="22"/>
  <c r="R320" i="22"/>
  <c r="K309" i="22"/>
  <c r="R309" i="22" s="1"/>
  <c r="K308" i="22"/>
  <c r="R308" i="22" s="1"/>
  <c r="K306" i="22"/>
  <c r="R306" i="22" s="1"/>
  <c r="K305" i="22"/>
  <c r="R305" i="22" s="1"/>
  <c r="K303" i="22"/>
  <c r="R303" i="22" s="1"/>
  <c r="K302" i="22"/>
  <c r="R302" i="22" s="1"/>
  <c r="K300" i="22"/>
  <c r="R300" i="22" s="1"/>
  <c r="K299" i="22"/>
  <c r="R299" i="22" s="1"/>
  <c r="K297" i="22"/>
  <c r="R297" i="22" s="1"/>
  <c r="K296" i="22"/>
  <c r="R296" i="22" s="1"/>
  <c r="Y281" i="22"/>
  <c r="AC281" i="22" s="1"/>
  <c r="X281" i="22"/>
  <c r="AD281" i="22" s="1"/>
  <c r="AJ281" i="22"/>
  <c r="H281" i="22"/>
  <c r="Y276" i="22"/>
  <c r="AC276" i="22" s="1"/>
  <c r="X276" i="22"/>
  <c r="AD276" i="22" s="1"/>
  <c r="AJ276" i="22"/>
  <c r="H276" i="22"/>
  <c r="Y271" i="22"/>
  <c r="AC271" i="22" s="1"/>
  <c r="X271" i="22"/>
  <c r="AD271" i="22" s="1"/>
  <c r="AJ271" i="22"/>
  <c r="H271" i="22"/>
  <c r="Y266" i="22"/>
  <c r="AC266" i="22" s="1"/>
  <c r="X266" i="22"/>
  <c r="AD266" i="22" s="1"/>
  <c r="AJ266" i="22"/>
  <c r="H266" i="22"/>
  <c r="Y261" i="22"/>
  <c r="X261" i="22"/>
  <c r="AJ261" i="22"/>
  <c r="H261" i="22"/>
  <c r="T254" i="22"/>
  <c r="R254" i="22" s="1"/>
  <c r="T250" i="22"/>
  <c r="T246" i="22"/>
  <c r="R246" i="22" s="1"/>
  <c r="R243" i="22"/>
  <c r="T235" i="22"/>
  <c r="T233" i="22"/>
  <c r="R231" i="22"/>
  <c r="K224" i="22"/>
  <c r="T229" i="22" s="1"/>
  <c r="K211" i="22"/>
  <c r="T216" i="22" s="1"/>
  <c r="R216" i="22" s="1"/>
  <c r="R210" i="22" s="1"/>
  <c r="Y188" i="22"/>
  <c r="X188" i="22"/>
  <c r="B185" i="22"/>
  <c r="Y180" i="22"/>
  <c r="X180" i="22"/>
  <c r="B177" i="22"/>
  <c r="Y172" i="22"/>
  <c r="X172" i="22"/>
  <c r="B169" i="22"/>
  <c r="Y164" i="22"/>
  <c r="X164" i="22"/>
  <c r="B161" i="22"/>
  <c r="Y156" i="22"/>
  <c r="X156" i="22"/>
  <c r="B153" i="22"/>
  <c r="Y116" i="22"/>
  <c r="AC116" i="22" s="1"/>
  <c r="AJ116" i="22"/>
  <c r="G116" i="22"/>
  <c r="D116" i="22"/>
  <c r="H116" i="22" s="1"/>
  <c r="B115" i="22"/>
  <c r="Y111" i="22"/>
  <c r="AC111" i="22" s="1"/>
  <c r="AJ111" i="22"/>
  <c r="D111" i="22"/>
  <c r="C111" i="22"/>
  <c r="B110" i="22"/>
  <c r="Y106" i="22"/>
  <c r="AC106" i="22" s="1"/>
  <c r="AJ106" i="22"/>
  <c r="D106" i="22"/>
  <c r="H106" i="22" s="1"/>
  <c r="C106" i="22"/>
  <c r="B105" i="22"/>
  <c r="Y101" i="22"/>
  <c r="AC101" i="22" s="1"/>
  <c r="AJ101" i="22"/>
  <c r="D101" i="22"/>
  <c r="H101" i="22" s="1"/>
  <c r="C101" i="22"/>
  <c r="B100" i="22"/>
  <c r="Y96" i="22"/>
  <c r="AC96" i="22" s="1"/>
  <c r="AJ96" i="22"/>
  <c r="G96" i="22"/>
  <c r="D96" i="22"/>
  <c r="H96" i="22" s="1"/>
  <c r="C96" i="22"/>
  <c r="B95" i="22"/>
  <c r="Y76" i="22"/>
  <c r="AC76" i="22" s="1"/>
  <c r="X76" i="22"/>
  <c r="AJ76" i="22"/>
  <c r="H76" i="22"/>
  <c r="Y71" i="22"/>
  <c r="AC71" i="22" s="1"/>
  <c r="X71" i="22"/>
  <c r="AJ71" i="22"/>
  <c r="H71" i="22"/>
  <c r="Y66" i="22"/>
  <c r="X66" i="22"/>
  <c r="AJ66" i="22"/>
  <c r="H66" i="22"/>
  <c r="Y61" i="22"/>
  <c r="AC61" i="22" s="1"/>
  <c r="X61" i="22"/>
  <c r="AJ61" i="22"/>
  <c r="H61" i="22"/>
  <c r="Y56" i="22"/>
  <c r="AC56" i="22" s="1"/>
  <c r="X56" i="22"/>
  <c r="AJ56" i="22"/>
  <c r="H56" i="22"/>
  <c r="U48" i="22"/>
  <c r="T48" i="22"/>
  <c r="V48" i="22" s="1"/>
  <c r="U44" i="22"/>
  <c r="T44" i="22"/>
  <c r="V44" i="22" s="1"/>
  <c r="U40" i="22"/>
  <c r="T40" i="22"/>
  <c r="V40" i="22" s="1"/>
  <c r="R30" i="22"/>
  <c r="Y459" i="22" s="1"/>
  <c r="Y458" i="22" s="1"/>
  <c r="U24" i="28" s="1"/>
  <c r="R31" i="22"/>
  <c r="Y418" i="22" s="1"/>
  <c r="Y419" i="22"/>
  <c r="R34" i="22"/>
  <c r="Y420" i="22" s="1"/>
  <c r="G26" i="22"/>
  <c r="Y21" i="22"/>
  <c r="AC21" i="22" s="1"/>
  <c r="X21" i="22"/>
  <c r="AD21" i="22" s="1"/>
  <c r="AJ21" i="22"/>
  <c r="Y16" i="22"/>
  <c r="AC16" i="22" s="1"/>
  <c r="X16" i="22"/>
  <c r="AD16" i="22" s="1"/>
  <c r="AJ16" i="22"/>
  <c r="Y11" i="22"/>
  <c r="AC11" i="22" s="1"/>
  <c r="X11" i="22"/>
  <c r="AD11" i="22" s="1"/>
  <c r="AJ11" i="22"/>
  <c r="T334" i="23"/>
  <c r="T247" i="23"/>
  <c r="U247" i="23" s="1"/>
  <c r="T245" i="23"/>
  <c r="U245" i="23" s="1"/>
  <c r="R243" i="23"/>
  <c r="K321" i="23"/>
  <c r="R321" i="23" s="1"/>
  <c r="K320" i="23"/>
  <c r="R320" i="23" s="1"/>
  <c r="K318" i="23"/>
  <c r="R318" i="23" s="1"/>
  <c r="K317" i="23"/>
  <c r="R317" i="23" s="1"/>
  <c r="K315" i="23"/>
  <c r="R315" i="23" s="1"/>
  <c r="K314" i="23"/>
  <c r="R314" i="23" s="1"/>
  <c r="K312" i="23"/>
  <c r="R312" i="23" s="1"/>
  <c r="K311" i="23"/>
  <c r="R311" i="23" s="1"/>
  <c r="K309" i="23"/>
  <c r="R309" i="23" s="1"/>
  <c r="K308" i="23"/>
  <c r="R308" i="23" s="1"/>
  <c r="Y293" i="23"/>
  <c r="AC293" i="23" s="1"/>
  <c r="X293" i="23"/>
  <c r="AD293" i="23" s="1"/>
  <c r="AJ293" i="23"/>
  <c r="H293" i="23"/>
  <c r="Y288" i="23"/>
  <c r="AC288" i="23" s="1"/>
  <c r="X288" i="23"/>
  <c r="AD288" i="23" s="1"/>
  <c r="AJ288" i="23"/>
  <c r="H288" i="23"/>
  <c r="Y283" i="23"/>
  <c r="AC283" i="23" s="1"/>
  <c r="X283" i="23"/>
  <c r="AD283" i="23" s="1"/>
  <c r="AJ283" i="23"/>
  <c r="H283" i="23"/>
  <c r="Y278" i="23"/>
  <c r="AC278" i="23" s="1"/>
  <c r="X278" i="23"/>
  <c r="AD278" i="23" s="1"/>
  <c r="AJ278" i="23"/>
  <c r="H278" i="23"/>
  <c r="Y273" i="23"/>
  <c r="AC273" i="23" s="1"/>
  <c r="X273" i="23"/>
  <c r="AJ273" i="23"/>
  <c r="H273" i="23"/>
  <c r="R270" i="23"/>
  <c r="T266" i="23"/>
  <c r="R266" i="23" s="1"/>
  <c r="T262" i="23"/>
  <c r="T258" i="23"/>
  <c r="R258" i="23" s="1"/>
  <c r="Y189" i="23"/>
  <c r="X189" i="23"/>
  <c r="B186" i="23"/>
  <c r="Y181" i="23"/>
  <c r="X181" i="23"/>
  <c r="B178" i="23"/>
  <c r="Y173" i="23"/>
  <c r="X173" i="23"/>
  <c r="B170" i="23"/>
  <c r="Y165" i="23"/>
  <c r="X165" i="23"/>
  <c r="B162" i="23"/>
  <c r="Y157" i="23"/>
  <c r="X157" i="23"/>
  <c r="B154" i="23"/>
  <c r="Y117" i="23"/>
  <c r="AC117" i="23" s="1"/>
  <c r="AJ117" i="23"/>
  <c r="G117" i="23"/>
  <c r="D117" i="23"/>
  <c r="H117" i="23" s="1"/>
  <c r="B116" i="23"/>
  <c r="Y112" i="23"/>
  <c r="AC112" i="23" s="1"/>
  <c r="AJ112" i="23"/>
  <c r="D112" i="23"/>
  <c r="C112" i="23"/>
  <c r="B111" i="23"/>
  <c r="Y107" i="23"/>
  <c r="AC107" i="23" s="1"/>
  <c r="AJ107" i="23"/>
  <c r="D107" i="23"/>
  <c r="H107" i="23" s="1"/>
  <c r="C107" i="23"/>
  <c r="B106" i="23"/>
  <c r="Y102" i="23"/>
  <c r="AJ102" i="23"/>
  <c r="D102" i="23"/>
  <c r="H102" i="23" s="1"/>
  <c r="C102" i="23"/>
  <c r="B101" i="23"/>
  <c r="Y97" i="23"/>
  <c r="AC97" i="23" s="1"/>
  <c r="AJ97" i="23"/>
  <c r="G97" i="23"/>
  <c r="D97" i="23"/>
  <c r="H97" i="23" s="1"/>
  <c r="C97" i="23"/>
  <c r="B96" i="23"/>
  <c r="R84" i="23"/>
  <c r="Y77" i="23"/>
  <c r="AC77" i="23" s="1"/>
  <c r="X77" i="23"/>
  <c r="AJ77" i="23"/>
  <c r="H77" i="23"/>
  <c r="Y72" i="23"/>
  <c r="AC72" i="23" s="1"/>
  <c r="X72" i="23"/>
  <c r="AJ72" i="23"/>
  <c r="H72" i="23"/>
  <c r="Y67" i="23"/>
  <c r="X67" i="23"/>
  <c r="AJ67" i="23"/>
  <c r="H67" i="23"/>
  <c r="Y62" i="23"/>
  <c r="AC62" i="23" s="1"/>
  <c r="X62" i="23"/>
  <c r="AJ62" i="23"/>
  <c r="H62" i="23"/>
  <c r="Y57" i="23"/>
  <c r="AC57" i="23" s="1"/>
  <c r="X57" i="23"/>
  <c r="AJ57" i="23"/>
  <c r="H57" i="23"/>
  <c r="R35" i="23"/>
  <c r="Y422" i="23" s="1"/>
  <c r="Y421" i="23"/>
  <c r="R32" i="23"/>
  <c r="Y420" i="23" s="1"/>
  <c r="R31" i="23"/>
  <c r="G27" i="23"/>
  <c r="Y22" i="23"/>
  <c r="AC22" i="23" s="1"/>
  <c r="X22" i="23"/>
  <c r="AD22" i="23" s="1"/>
  <c r="AJ22" i="23"/>
  <c r="Y17" i="23"/>
  <c r="AC17" i="23" s="1"/>
  <c r="X17" i="23"/>
  <c r="AD17" i="23" s="1"/>
  <c r="AJ17" i="23"/>
  <c r="AI17" i="23"/>
  <c r="Y12" i="23"/>
  <c r="AC12" i="23" s="1"/>
  <c r="X12" i="23"/>
  <c r="AD12" i="23" s="1"/>
  <c r="AJ12" i="23"/>
  <c r="T327" i="24"/>
  <c r="R325" i="24"/>
  <c r="T240" i="24"/>
  <c r="T238" i="24"/>
  <c r="R236" i="24"/>
  <c r="K314" i="24"/>
  <c r="R314" i="24" s="1"/>
  <c r="K313" i="24"/>
  <c r="R313" i="24" s="1"/>
  <c r="K311" i="24"/>
  <c r="R311" i="24" s="1"/>
  <c r="K310" i="24"/>
  <c r="R310" i="24" s="1"/>
  <c r="K308" i="24"/>
  <c r="R308" i="24" s="1"/>
  <c r="K307" i="24"/>
  <c r="R307" i="24" s="1"/>
  <c r="K305" i="24"/>
  <c r="R305" i="24" s="1"/>
  <c r="K304" i="24"/>
  <c r="R304" i="24" s="1"/>
  <c r="K302" i="24"/>
  <c r="R302" i="24" s="1"/>
  <c r="K301" i="24"/>
  <c r="R301" i="24" s="1"/>
  <c r="Y286" i="24"/>
  <c r="AC286" i="24" s="1"/>
  <c r="X286" i="24"/>
  <c r="AD286" i="24" s="1"/>
  <c r="AJ286" i="24"/>
  <c r="H286" i="24"/>
  <c r="Y281" i="24"/>
  <c r="AC281" i="24" s="1"/>
  <c r="X281" i="24"/>
  <c r="AD281" i="24" s="1"/>
  <c r="AJ281" i="24"/>
  <c r="H281" i="24"/>
  <c r="Y276" i="24"/>
  <c r="AC276" i="24" s="1"/>
  <c r="X276" i="24"/>
  <c r="AD276" i="24" s="1"/>
  <c r="AJ276" i="24"/>
  <c r="H276" i="24"/>
  <c r="Y271" i="24"/>
  <c r="AC271" i="24" s="1"/>
  <c r="X271" i="24"/>
  <c r="AD271" i="24" s="1"/>
  <c r="AJ271" i="24"/>
  <c r="H271" i="24"/>
  <c r="Y266" i="24"/>
  <c r="X266" i="24"/>
  <c r="AJ266" i="24"/>
  <c r="H266" i="24"/>
  <c r="T259" i="24"/>
  <c r="T255" i="24"/>
  <c r="T251" i="24"/>
  <c r="R246" i="24"/>
  <c r="R232" i="24"/>
  <c r="U215" i="24"/>
  <c r="T215" i="24"/>
  <c r="V215" i="24" s="1"/>
  <c r="U209" i="24"/>
  <c r="T209" i="24"/>
  <c r="U203" i="24"/>
  <c r="T203" i="24"/>
  <c r="U197" i="24"/>
  <c r="T197" i="24"/>
  <c r="V197" i="24" s="1"/>
  <c r="Y188" i="24"/>
  <c r="X188" i="24"/>
  <c r="B185" i="24"/>
  <c r="Y180" i="24"/>
  <c r="X180" i="24"/>
  <c r="B177" i="24"/>
  <c r="Y172" i="24"/>
  <c r="X172" i="24"/>
  <c r="B169" i="24"/>
  <c r="Y164" i="24"/>
  <c r="X164" i="24"/>
  <c r="B161" i="24"/>
  <c r="Y156" i="24"/>
  <c r="X156" i="24"/>
  <c r="B153" i="24"/>
  <c r="Y123" i="24"/>
  <c r="AC123" i="24" s="1"/>
  <c r="AJ123" i="24"/>
  <c r="D123" i="24"/>
  <c r="H123" i="24" s="1"/>
  <c r="B122" i="24"/>
  <c r="Y118" i="24"/>
  <c r="AC118" i="24" s="1"/>
  <c r="AJ118" i="24"/>
  <c r="D118" i="24"/>
  <c r="C118" i="24"/>
  <c r="B117" i="24"/>
  <c r="Y113" i="24"/>
  <c r="AC113" i="24" s="1"/>
  <c r="AJ113" i="24"/>
  <c r="D113" i="24"/>
  <c r="H113" i="24" s="1"/>
  <c r="C113" i="24"/>
  <c r="B112" i="24"/>
  <c r="Y108" i="24"/>
  <c r="AC108" i="24" s="1"/>
  <c r="AJ108" i="24"/>
  <c r="D108" i="24"/>
  <c r="H108" i="24" s="1"/>
  <c r="B107" i="24"/>
  <c r="Y103" i="24"/>
  <c r="AC103" i="24" s="1"/>
  <c r="AJ103" i="24"/>
  <c r="G103" i="24"/>
  <c r="D103" i="24"/>
  <c r="H103" i="24" s="1"/>
  <c r="B102" i="24"/>
  <c r="Y83" i="24"/>
  <c r="X83" i="24"/>
  <c r="AJ83" i="24"/>
  <c r="H83" i="24"/>
  <c r="Y78" i="24"/>
  <c r="X78" i="24"/>
  <c r="AJ78" i="24"/>
  <c r="H78" i="24"/>
  <c r="Y73" i="24"/>
  <c r="AC73" i="24" s="1"/>
  <c r="X73" i="24"/>
  <c r="AJ73" i="24"/>
  <c r="H73" i="24"/>
  <c r="Y68" i="24"/>
  <c r="AC68" i="24" s="1"/>
  <c r="X68" i="24"/>
  <c r="AJ68" i="24"/>
  <c r="H68" i="24"/>
  <c r="Y63" i="24"/>
  <c r="AC63" i="24" s="1"/>
  <c r="X63" i="24"/>
  <c r="AJ63" i="24"/>
  <c r="H63" i="24"/>
  <c r="T39" i="24"/>
  <c r="V39" i="24" s="1"/>
  <c r="R39" i="24" s="1"/>
  <c r="R34" i="24"/>
  <c r="Y415" i="24" s="1"/>
  <c r="Y414" i="24"/>
  <c r="Y471" i="24"/>
  <c r="Y470" i="24" s="1"/>
  <c r="G26" i="24"/>
  <c r="Y21" i="24"/>
  <c r="AC21" i="24" s="1"/>
  <c r="X21" i="24"/>
  <c r="AD21" i="24" s="1"/>
  <c r="AE21" i="24" s="1"/>
  <c r="AJ21" i="24"/>
  <c r="Y16" i="24"/>
  <c r="AC16" i="24" s="1"/>
  <c r="X16" i="24"/>
  <c r="AD16" i="24" s="1"/>
  <c r="AJ16" i="24"/>
  <c r="Y11" i="24"/>
  <c r="AC11" i="24" s="1"/>
  <c r="X11" i="24"/>
  <c r="AD11" i="24" s="1"/>
  <c r="AJ11" i="24"/>
  <c r="T453" i="9"/>
  <c r="R451" i="9"/>
  <c r="T366" i="9"/>
  <c r="R364" i="9"/>
  <c r="K440" i="9"/>
  <c r="R440" i="9" s="1"/>
  <c r="K439" i="9"/>
  <c r="R439" i="9" s="1"/>
  <c r="K437" i="9"/>
  <c r="R437" i="9" s="1"/>
  <c r="K436" i="9"/>
  <c r="R436" i="9" s="1"/>
  <c r="K434" i="9"/>
  <c r="R434" i="9" s="1"/>
  <c r="K433" i="9"/>
  <c r="R433" i="9" s="1"/>
  <c r="K431" i="9"/>
  <c r="R431" i="9" s="1"/>
  <c r="K430" i="9"/>
  <c r="R430" i="9" s="1"/>
  <c r="K428" i="9"/>
  <c r="R428" i="9" s="1"/>
  <c r="K427" i="9"/>
  <c r="R427" i="9" s="1"/>
  <c r="F31" i="20"/>
  <c r="F30" i="20"/>
  <c r="Y412" i="9"/>
  <c r="AC412" i="9" s="1"/>
  <c r="X412" i="9"/>
  <c r="AD412" i="9" s="1"/>
  <c r="Y407" i="9"/>
  <c r="AC407" i="9" s="1"/>
  <c r="X407" i="9"/>
  <c r="AD407" i="9" s="1"/>
  <c r="Y402" i="9"/>
  <c r="AC402" i="9" s="1"/>
  <c r="X402" i="9"/>
  <c r="AD402" i="9" s="1"/>
  <c r="H412" i="9"/>
  <c r="H407" i="9"/>
  <c r="H402" i="9"/>
  <c r="H397" i="9"/>
  <c r="H392" i="9"/>
  <c r="Y272" i="9"/>
  <c r="AC272" i="9" s="1"/>
  <c r="X272" i="9"/>
  <c r="AD272" i="9" s="1"/>
  <c r="Y267" i="9"/>
  <c r="AC267" i="9" s="1"/>
  <c r="X267" i="9"/>
  <c r="AD267" i="9" s="1"/>
  <c r="Y262" i="9"/>
  <c r="AC262" i="9" s="1"/>
  <c r="X262" i="9"/>
  <c r="AD262" i="9" s="1"/>
  <c r="Y21" i="9"/>
  <c r="AC21" i="9" s="1"/>
  <c r="X21" i="9"/>
  <c r="AD21" i="9" s="1"/>
  <c r="Y16" i="9"/>
  <c r="AC16" i="9" s="1"/>
  <c r="X16" i="9"/>
  <c r="AD16" i="9" s="1"/>
  <c r="X11" i="9"/>
  <c r="AD11" i="9" s="1"/>
  <c r="Y392" i="9"/>
  <c r="AC392" i="9" s="1"/>
  <c r="X392" i="9"/>
  <c r="Y48" i="9"/>
  <c r="Y11" i="9"/>
  <c r="AC11" i="9" s="1"/>
  <c r="R360" i="9"/>
  <c r="Y512" i="9" s="1"/>
  <c r="E277" i="9"/>
  <c r="M295" i="9"/>
  <c r="M292" i="9"/>
  <c r="M289" i="9"/>
  <c r="M286" i="9"/>
  <c r="M283" i="9"/>
  <c r="R179" i="9"/>
  <c r="Y497" i="9" s="1"/>
  <c r="M32" i="20"/>
  <c r="F32" i="20" s="1"/>
  <c r="R229" i="22" l="1"/>
  <c r="R223" i="22" s="1"/>
  <c r="Y434" i="22" s="1"/>
  <c r="R187" i="9"/>
  <c r="Y498" i="9" s="1"/>
  <c r="K320" i="24"/>
  <c r="R320" i="24" s="1"/>
  <c r="K79" i="9"/>
  <c r="R79" i="9" s="1"/>
  <c r="K315" i="22"/>
  <c r="R315" i="22" s="1"/>
  <c r="K327" i="23"/>
  <c r="R327" i="23" s="1"/>
  <c r="K295" i="25"/>
  <c r="R295" i="25" s="1"/>
  <c r="K323" i="21"/>
  <c r="R323" i="21" s="1"/>
  <c r="K446" i="9"/>
  <c r="R446" i="9" s="1"/>
  <c r="K319" i="23"/>
  <c r="R319" i="23" s="1"/>
  <c r="K429" i="9"/>
  <c r="R429" i="9" s="1"/>
  <c r="K304" i="22"/>
  <c r="R304" i="22" s="1"/>
  <c r="K303" i="21"/>
  <c r="R303" i="21" s="1"/>
  <c r="K309" i="21"/>
  <c r="R309" i="21" s="1"/>
  <c r="K300" i="24"/>
  <c r="R300" i="24" s="1"/>
  <c r="K303" i="24"/>
  <c r="R303" i="24" s="1"/>
  <c r="K306" i="21"/>
  <c r="R306" i="21" s="1"/>
  <c r="K307" i="22"/>
  <c r="R307" i="22" s="1"/>
  <c r="K312" i="24"/>
  <c r="R312" i="24" s="1"/>
  <c r="K432" i="9"/>
  <c r="R432" i="9" s="1"/>
  <c r="K287" i="25"/>
  <c r="R287" i="25" s="1"/>
  <c r="K307" i="23"/>
  <c r="R307" i="23" s="1"/>
  <c r="K310" i="23"/>
  <c r="R310" i="23" s="1"/>
  <c r="K278" i="25"/>
  <c r="R278" i="25" s="1"/>
  <c r="K298" i="22"/>
  <c r="R298" i="22" s="1"/>
  <c r="K438" i="9"/>
  <c r="R438" i="9" s="1"/>
  <c r="K313" i="23"/>
  <c r="R313" i="23" s="1"/>
  <c r="K306" i="24"/>
  <c r="R306" i="24" s="1"/>
  <c r="K281" i="25"/>
  <c r="R281" i="25" s="1"/>
  <c r="K315" i="21"/>
  <c r="R315" i="21" s="1"/>
  <c r="K426" i="9"/>
  <c r="R426" i="9" s="1"/>
  <c r="K301" i="22"/>
  <c r="R301" i="22" s="1"/>
  <c r="K435" i="9"/>
  <c r="R435" i="9" s="1"/>
  <c r="K312" i="21"/>
  <c r="R312" i="21" s="1"/>
  <c r="K316" i="23"/>
  <c r="R316" i="23" s="1"/>
  <c r="K309" i="24"/>
  <c r="R309" i="24" s="1"/>
  <c r="K284" i="25"/>
  <c r="R284" i="25" s="1"/>
  <c r="K295" i="22"/>
  <c r="R295" i="22" s="1"/>
  <c r="K275" i="25"/>
  <c r="R275" i="25" s="1"/>
  <c r="K296" i="25"/>
  <c r="R296" i="25" s="1"/>
  <c r="Y455" i="25" s="1"/>
  <c r="K80" i="9"/>
  <c r="R80" i="9" s="1"/>
  <c r="Y543" i="9" s="1"/>
  <c r="K328" i="23"/>
  <c r="R328" i="23" s="1"/>
  <c r="Y484" i="23" s="1"/>
  <c r="K324" i="21"/>
  <c r="R324" i="21" s="1"/>
  <c r="Y481" i="21" s="1"/>
  <c r="K316" i="22"/>
  <c r="R316" i="22" s="1"/>
  <c r="Y464" i="22" s="1"/>
  <c r="K447" i="9"/>
  <c r="R447" i="9" s="1"/>
  <c r="Y545" i="9" s="1"/>
  <c r="K321" i="24"/>
  <c r="R321" i="24" s="1"/>
  <c r="Y476" i="24" s="1"/>
  <c r="M134" i="24"/>
  <c r="AE22" i="23"/>
  <c r="M146" i="24"/>
  <c r="M140" i="24"/>
  <c r="M137" i="24"/>
  <c r="M143" i="24"/>
  <c r="Y478" i="23"/>
  <c r="Y477" i="23" s="1"/>
  <c r="U23" i="28" s="1"/>
  <c r="AE21" i="25"/>
  <c r="R276" i="25"/>
  <c r="Y454" i="25" s="1"/>
  <c r="U302" i="25"/>
  <c r="X302" i="25"/>
  <c r="U331" i="21"/>
  <c r="Y331" i="21"/>
  <c r="X322" i="22"/>
  <c r="U322" i="22"/>
  <c r="U233" i="22"/>
  <c r="Y233" i="22"/>
  <c r="V233" i="22"/>
  <c r="AE17" i="23"/>
  <c r="V334" i="23"/>
  <c r="U334" i="23"/>
  <c r="V327" i="24"/>
  <c r="U327" i="24"/>
  <c r="AE16" i="24"/>
  <c r="Y544" i="9"/>
  <c r="V453" i="9"/>
  <c r="U453" i="9"/>
  <c r="AE16" i="25"/>
  <c r="Y419" i="23"/>
  <c r="V209" i="24"/>
  <c r="R209" i="24" s="1"/>
  <c r="V203" i="24"/>
  <c r="R203" i="24" s="1"/>
  <c r="Y412" i="24"/>
  <c r="U22" i="28"/>
  <c r="AC48" i="9"/>
  <c r="AE48" i="9" s="1"/>
  <c r="Z48" i="9"/>
  <c r="Y425" i="24"/>
  <c r="R135" i="23"/>
  <c r="Y480" i="21"/>
  <c r="Y418" i="21"/>
  <c r="Y463" i="22"/>
  <c r="Y475" i="24"/>
  <c r="Y430" i="25"/>
  <c r="W302" i="25"/>
  <c r="V302" i="25"/>
  <c r="Z302" i="25"/>
  <c r="Y302" i="25"/>
  <c r="Y410" i="25"/>
  <c r="Z213" i="25"/>
  <c r="Y213" i="25"/>
  <c r="X213" i="25"/>
  <c r="U213" i="25"/>
  <c r="W213" i="25"/>
  <c r="V213" i="25"/>
  <c r="Y215" i="25"/>
  <c r="X215" i="25"/>
  <c r="W215" i="25"/>
  <c r="U215" i="25"/>
  <c r="Z215" i="25"/>
  <c r="V215" i="25"/>
  <c r="X243" i="21"/>
  <c r="W243" i="21"/>
  <c r="U243" i="21"/>
  <c r="Z243" i="21"/>
  <c r="Y243" i="21"/>
  <c r="V243" i="21"/>
  <c r="W331" i="21"/>
  <c r="V331" i="21"/>
  <c r="Z331" i="21"/>
  <c r="X331" i="21"/>
  <c r="U241" i="21"/>
  <c r="Z241" i="21"/>
  <c r="Y241" i="21"/>
  <c r="W241" i="21"/>
  <c r="X241" i="21"/>
  <c r="V241" i="21"/>
  <c r="Z235" i="22"/>
  <c r="Y235" i="22"/>
  <c r="X235" i="22"/>
  <c r="W235" i="22"/>
  <c r="U235" i="22"/>
  <c r="V235" i="22"/>
  <c r="X233" i="22"/>
  <c r="W233" i="22"/>
  <c r="Z233" i="22"/>
  <c r="W322" i="22"/>
  <c r="Y322" i="22"/>
  <c r="Z322" i="22"/>
  <c r="V322" i="22"/>
  <c r="Y417" i="22"/>
  <c r="Z238" i="24"/>
  <c r="Y238" i="24"/>
  <c r="X238" i="24"/>
  <c r="W238" i="24"/>
  <c r="V238" i="24"/>
  <c r="U238" i="24"/>
  <c r="Z240" i="24"/>
  <c r="Y240" i="24"/>
  <c r="X240" i="24"/>
  <c r="W240" i="24"/>
  <c r="U240" i="24"/>
  <c r="V240" i="24"/>
  <c r="Z327" i="24"/>
  <c r="W327" i="24"/>
  <c r="Y327" i="24"/>
  <c r="X327" i="24"/>
  <c r="Y483" i="23"/>
  <c r="W247" i="23"/>
  <c r="Z247" i="23"/>
  <c r="Y247" i="23"/>
  <c r="X247" i="23"/>
  <c r="V247" i="23"/>
  <c r="Y334" i="23"/>
  <c r="Z334" i="23"/>
  <c r="X334" i="23"/>
  <c r="W334" i="23"/>
  <c r="Z245" i="23"/>
  <c r="Y245" i="23"/>
  <c r="X245" i="23"/>
  <c r="W245" i="23"/>
  <c r="V245" i="23"/>
  <c r="Z453" i="9"/>
  <c r="W453" i="9"/>
  <c r="Y453" i="9"/>
  <c r="X453" i="9"/>
  <c r="Y366" i="9"/>
  <c r="X366" i="9"/>
  <c r="W366" i="9"/>
  <c r="U366" i="9"/>
  <c r="V366" i="9"/>
  <c r="Z366" i="9"/>
  <c r="AE281" i="22"/>
  <c r="AE261" i="25"/>
  <c r="AC261" i="22"/>
  <c r="AI241" i="25"/>
  <c r="AI293" i="23"/>
  <c r="AI273" i="23"/>
  <c r="AI261" i="22"/>
  <c r="AI286" i="24"/>
  <c r="AI269" i="21"/>
  <c r="AI281" i="22"/>
  <c r="AI289" i="21"/>
  <c r="AD241" i="25"/>
  <c r="AE241" i="25" s="1"/>
  <c r="AE246" i="25"/>
  <c r="AI251" i="25"/>
  <c r="Z261" i="25"/>
  <c r="AI246" i="25"/>
  <c r="R207" i="21"/>
  <c r="R231" i="21"/>
  <c r="Y436" i="21" s="1"/>
  <c r="Z241" i="25"/>
  <c r="R194" i="25"/>
  <c r="Y424" i="25" s="1"/>
  <c r="Z256" i="25"/>
  <c r="Z251" i="25"/>
  <c r="R205" i="25"/>
  <c r="Y425" i="25" s="1"/>
  <c r="Z246" i="25"/>
  <c r="AE251" i="25"/>
  <c r="AE256" i="25"/>
  <c r="AI256" i="25"/>
  <c r="AI116" i="25"/>
  <c r="AI111" i="25"/>
  <c r="AI106" i="25"/>
  <c r="AI101" i="25"/>
  <c r="X116" i="25"/>
  <c r="AD76" i="25"/>
  <c r="AE76" i="25" s="1"/>
  <c r="X96" i="25"/>
  <c r="Z96" i="25" s="1"/>
  <c r="AI96" i="25"/>
  <c r="AI76" i="25"/>
  <c r="AC101" i="25"/>
  <c r="H111" i="25"/>
  <c r="Z56" i="25"/>
  <c r="AI61" i="25"/>
  <c r="AI56" i="25"/>
  <c r="AI66" i="25"/>
  <c r="AD61" i="25"/>
  <c r="AE61" i="25" s="1"/>
  <c r="Z76" i="25"/>
  <c r="AI71" i="25"/>
  <c r="Z66" i="25"/>
  <c r="AD56" i="25"/>
  <c r="AE56" i="25" s="1"/>
  <c r="AC66" i="25"/>
  <c r="AI21" i="25"/>
  <c r="Z71" i="25"/>
  <c r="AD66" i="25"/>
  <c r="AD71" i="25"/>
  <c r="Z61" i="25"/>
  <c r="R40" i="25"/>
  <c r="AI11" i="25"/>
  <c r="R44" i="25"/>
  <c r="R48" i="25"/>
  <c r="AI16" i="25"/>
  <c r="Z21" i="25"/>
  <c r="AE11" i="25"/>
  <c r="Z16" i="25"/>
  <c r="Z11" i="25"/>
  <c r="R254" i="21"/>
  <c r="R262" i="21"/>
  <c r="AD269" i="21"/>
  <c r="AE269" i="21" s="1"/>
  <c r="Z269" i="21"/>
  <c r="Z289" i="21"/>
  <c r="AI274" i="21"/>
  <c r="R219" i="21"/>
  <c r="Y435" i="21" s="1"/>
  <c r="R258" i="21"/>
  <c r="AI279" i="21"/>
  <c r="Z284" i="21"/>
  <c r="Z279" i="21"/>
  <c r="AE284" i="21"/>
  <c r="AE279" i="21"/>
  <c r="AI284" i="21"/>
  <c r="AI116" i="21"/>
  <c r="AE274" i="21"/>
  <c r="AE289" i="21"/>
  <c r="Z274" i="21"/>
  <c r="R191" i="21"/>
  <c r="Y432" i="21" s="1"/>
  <c r="AI111" i="21"/>
  <c r="X116" i="21"/>
  <c r="Z116" i="21" s="1"/>
  <c r="AI101" i="21"/>
  <c r="AI56" i="21"/>
  <c r="X96" i="21"/>
  <c r="Z96" i="21" s="1"/>
  <c r="R48" i="21"/>
  <c r="AI96" i="21"/>
  <c r="AD76" i="21"/>
  <c r="AE76" i="21" s="1"/>
  <c r="AI106" i="21"/>
  <c r="H111" i="21"/>
  <c r="AI71" i="21"/>
  <c r="Z66" i="21"/>
  <c r="Z76" i="21"/>
  <c r="R44" i="21"/>
  <c r="AD56" i="21"/>
  <c r="AE56" i="21" s="1"/>
  <c r="AI76" i="21"/>
  <c r="Z56" i="21"/>
  <c r="AI66" i="21"/>
  <c r="AD66" i="21"/>
  <c r="AE66" i="21" s="1"/>
  <c r="AI61" i="21"/>
  <c r="AD71" i="21"/>
  <c r="AE71" i="21" s="1"/>
  <c r="AD61" i="21"/>
  <c r="AE61" i="21" s="1"/>
  <c r="Z71" i="21"/>
  <c r="Z61" i="21"/>
  <c r="R40" i="21"/>
  <c r="AE21" i="21"/>
  <c r="AI21" i="21"/>
  <c r="AI11" i="21"/>
  <c r="AE16" i="21"/>
  <c r="AI16" i="21"/>
  <c r="Z21" i="21"/>
  <c r="AD11" i="21"/>
  <c r="AE11" i="21" s="1"/>
  <c r="Z16" i="21"/>
  <c r="Z11" i="21"/>
  <c r="AE271" i="22"/>
  <c r="Z261" i="22"/>
  <c r="AE266" i="22"/>
  <c r="AI271" i="22"/>
  <c r="Z281" i="22"/>
  <c r="Y433" i="22"/>
  <c r="AI266" i="22"/>
  <c r="AD261" i="22"/>
  <c r="Z271" i="22"/>
  <c r="Z276" i="22"/>
  <c r="AE276" i="22"/>
  <c r="R250" i="22"/>
  <c r="Y439" i="22" s="1"/>
  <c r="AI276" i="22"/>
  <c r="Z266" i="22"/>
  <c r="Y432" i="22"/>
  <c r="AI111" i="22"/>
  <c r="AI61" i="22"/>
  <c r="AI76" i="22"/>
  <c r="AI116" i="22"/>
  <c r="X96" i="22"/>
  <c r="AD96" i="22" s="1"/>
  <c r="AE96" i="22" s="1"/>
  <c r="X116" i="22"/>
  <c r="AD116" i="22" s="1"/>
  <c r="AE116" i="22" s="1"/>
  <c r="AI56" i="22"/>
  <c r="AI66" i="22"/>
  <c r="AI96" i="22"/>
  <c r="AI101" i="22"/>
  <c r="AI106" i="22"/>
  <c r="H111" i="22"/>
  <c r="AD56" i="22"/>
  <c r="AE56" i="22" s="1"/>
  <c r="R48" i="22"/>
  <c r="AD76" i="22"/>
  <c r="AE76" i="22" s="1"/>
  <c r="Z56" i="22"/>
  <c r="AC66" i="22"/>
  <c r="AD61" i="22"/>
  <c r="AE61" i="22" s="1"/>
  <c r="AD71" i="22"/>
  <c r="AE71" i="22" s="1"/>
  <c r="Z76" i="22"/>
  <c r="AD66" i="22"/>
  <c r="AI71" i="22"/>
  <c r="Z71" i="22"/>
  <c r="Z66" i="22"/>
  <c r="Z61" i="22"/>
  <c r="R40" i="22"/>
  <c r="R44" i="22"/>
  <c r="AI21" i="22"/>
  <c r="AE21" i="22"/>
  <c r="Z16" i="22"/>
  <c r="AE16" i="22"/>
  <c r="AI16" i="22"/>
  <c r="AI11" i="22"/>
  <c r="Z21" i="22"/>
  <c r="Z11" i="22"/>
  <c r="AI278" i="23"/>
  <c r="AE293" i="23"/>
  <c r="Z273" i="23"/>
  <c r="Z293" i="23"/>
  <c r="Z278" i="23"/>
  <c r="AD273" i="23"/>
  <c r="AE273" i="23" s="1"/>
  <c r="AI283" i="23"/>
  <c r="Z283" i="23"/>
  <c r="AE288" i="23"/>
  <c r="AE283" i="23"/>
  <c r="AI288" i="23"/>
  <c r="R262" i="23"/>
  <c r="Y442" i="23" s="1"/>
  <c r="AE278" i="23"/>
  <c r="Z288" i="23"/>
  <c r="R235" i="23"/>
  <c r="Y437" i="23" s="1"/>
  <c r="Y434" i="23"/>
  <c r="R223" i="23"/>
  <c r="Y436" i="23" s="1"/>
  <c r="X97" i="23"/>
  <c r="R211" i="23"/>
  <c r="Y435" i="23" s="1"/>
  <c r="AD77" i="23"/>
  <c r="AE77" i="23" s="1"/>
  <c r="AI117" i="23"/>
  <c r="AI112" i="23"/>
  <c r="AI107" i="23"/>
  <c r="AI102" i="23"/>
  <c r="AC102" i="23"/>
  <c r="X117" i="23"/>
  <c r="AD117" i="23" s="1"/>
  <c r="AE117" i="23" s="1"/>
  <c r="AI77" i="23"/>
  <c r="AI97" i="23"/>
  <c r="H112" i="23"/>
  <c r="Z72" i="23"/>
  <c r="AD57" i="23"/>
  <c r="AE57" i="23" s="1"/>
  <c r="AI67" i="23"/>
  <c r="AI62" i="23"/>
  <c r="Z67" i="23"/>
  <c r="AD62" i="23"/>
  <c r="AE62" i="23" s="1"/>
  <c r="Z77" i="23"/>
  <c r="Z57" i="23"/>
  <c r="Z62" i="23"/>
  <c r="AC67" i="23"/>
  <c r="AI57" i="23"/>
  <c r="AD67" i="23"/>
  <c r="AD72" i="23"/>
  <c r="AE72" i="23" s="1"/>
  <c r="AI72" i="23"/>
  <c r="AI22" i="23"/>
  <c r="AI12" i="23"/>
  <c r="Z22" i="23"/>
  <c r="Z17" i="23"/>
  <c r="Z12" i="23"/>
  <c r="AD266" i="24"/>
  <c r="AI266" i="24"/>
  <c r="R259" i="24"/>
  <c r="AI123" i="24"/>
  <c r="R255" i="24"/>
  <c r="AE281" i="24"/>
  <c r="Z266" i="24"/>
  <c r="AI276" i="24"/>
  <c r="Z286" i="24"/>
  <c r="Z276" i="24"/>
  <c r="AI271" i="24"/>
  <c r="AE286" i="24"/>
  <c r="AC266" i="24"/>
  <c r="Z281" i="24"/>
  <c r="Z271" i="24"/>
  <c r="R251" i="24"/>
  <c r="AE276" i="24"/>
  <c r="AI281" i="24"/>
  <c r="AE271" i="24"/>
  <c r="R197" i="24"/>
  <c r="R215" i="24"/>
  <c r="AI83" i="24"/>
  <c r="AI118" i="24"/>
  <c r="AI108" i="24"/>
  <c r="AI113" i="24"/>
  <c r="X103" i="24"/>
  <c r="Z103" i="24" s="1"/>
  <c r="X123" i="24"/>
  <c r="AD123" i="24" s="1"/>
  <c r="AE123" i="24" s="1"/>
  <c r="H118" i="24"/>
  <c r="AI103" i="24"/>
  <c r="AI73" i="24"/>
  <c r="AI68" i="24"/>
  <c r="AI16" i="24"/>
  <c r="Z63" i="24"/>
  <c r="AD83" i="24"/>
  <c r="AD63" i="24"/>
  <c r="AE63" i="24" s="1"/>
  <c r="Z83" i="24"/>
  <c r="AD78" i="24"/>
  <c r="AC83" i="24"/>
  <c r="AD73" i="24"/>
  <c r="AE73" i="24" s="1"/>
  <c r="Z78" i="24"/>
  <c r="AI63" i="24"/>
  <c r="Z68" i="24"/>
  <c r="AI78" i="24"/>
  <c r="AD68" i="24"/>
  <c r="AE68" i="24" s="1"/>
  <c r="Z73" i="24"/>
  <c r="AC78" i="24"/>
  <c r="Z16" i="24"/>
  <c r="Y416" i="24"/>
  <c r="Y496" i="9"/>
  <c r="AE11" i="24"/>
  <c r="AI21" i="24"/>
  <c r="Z21" i="24"/>
  <c r="AI11" i="24"/>
  <c r="Z11" i="24"/>
  <c r="AE402" i="9"/>
  <c r="AE412" i="9"/>
  <c r="AE407" i="9"/>
  <c r="Z412" i="9"/>
  <c r="Z407" i="9"/>
  <c r="AD392" i="9"/>
  <c r="Z402" i="9"/>
  <c r="AE21" i="9"/>
  <c r="AE272" i="9"/>
  <c r="Z262" i="9"/>
  <c r="AE16" i="9"/>
  <c r="Z21" i="9"/>
  <c r="AE267" i="9"/>
  <c r="Z16" i="9"/>
  <c r="Z272" i="9"/>
  <c r="Z267" i="9"/>
  <c r="Z392" i="9"/>
  <c r="AE262" i="9"/>
  <c r="Y481" i="23" l="1"/>
  <c r="V23" i="28" s="1"/>
  <c r="Y474" i="24"/>
  <c r="V22" i="28" s="1"/>
  <c r="Y542" i="9"/>
  <c r="V21" i="28" s="1"/>
  <c r="Y462" i="22"/>
  <c r="V24" i="28" s="1"/>
  <c r="Y453" i="25"/>
  <c r="Y479" i="21"/>
  <c r="U469" i="21"/>
  <c r="U471" i="23"/>
  <c r="L23" i="28" s="1"/>
  <c r="R302" i="25"/>
  <c r="Y429" i="25" s="1"/>
  <c r="P25" i="28"/>
  <c r="P22" i="28"/>
  <c r="U452" i="22"/>
  <c r="N24" i="28" s="1"/>
  <c r="R9" i="26"/>
  <c r="Y404" i="26" s="1"/>
  <c r="Y431" i="24"/>
  <c r="Y432" i="23"/>
  <c r="P26" i="28"/>
  <c r="Y441" i="21"/>
  <c r="Y414" i="25"/>
  <c r="U442" i="25" s="1"/>
  <c r="Y422" i="21"/>
  <c r="AE261" i="22"/>
  <c r="Y421" i="22"/>
  <c r="U451" i="22" s="1"/>
  <c r="R213" i="25"/>
  <c r="Y427" i="25" s="1"/>
  <c r="R215" i="25"/>
  <c r="Y428" i="25" s="1"/>
  <c r="AD116" i="25"/>
  <c r="AE116" i="25" s="1"/>
  <c r="Z116" i="25"/>
  <c r="AD96" i="25"/>
  <c r="AE96" i="25" s="1"/>
  <c r="AE66" i="25"/>
  <c r="AE71" i="25"/>
  <c r="R241" i="21"/>
  <c r="Y438" i="21" s="1"/>
  <c r="R243" i="21"/>
  <c r="Y439" i="21" s="1"/>
  <c r="R331" i="21"/>
  <c r="Y440" i="21" s="1"/>
  <c r="AD116" i="21"/>
  <c r="AE116" i="21" s="1"/>
  <c r="AD96" i="21"/>
  <c r="AE96" i="21" s="1"/>
  <c r="R322" i="22"/>
  <c r="Y438" i="22" s="1"/>
  <c r="R233" i="22"/>
  <c r="Y436" i="22" s="1"/>
  <c r="R235" i="22"/>
  <c r="Y437" i="22" s="1"/>
  <c r="Z116" i="22"/>
  <c r="Z96" i="22"/>
  <c r="AE66" i="22"/>
  <c r="AE11" i="22"/>
  <c r="R334" i="23"/>
  <c r="Y441" i="23" s="1"/>
  <c r="R245" i="23"/>
  <c r="Y439" i="23" s="1"/>
  <c r="R247" i="23"/>
  <c r="Y440" i="23" s="1"/>
  <c r="AD97" i="23"/>
  <c r="AE97" i="23" s="1"/>
  <c r="Z97" i="23"/>
  <c r="Z117" i="23"/>
  <c r="AE67" i="23"/>
  <c r="AE12" i="23"/>
  <c r="AE266" i="24"/>
  <c r="R327" i="24"/>
  <c r="Y430" i="24" s="1"/>
  <c r="R238" i="24"/>
  <c r="Y428" i="24" s="1"/>
  <c r="R240" i="24"/>
  <c r="Y429" i="24" s="1"/>
  <c r="Z123" i="24"/>
  <c r="AD103" i="24"/>
  <c r="AE103" i="24" s="1"/>
  <c r="AE83" i="24"/>
  <c r="AE78" i="24"/>
  <c r="R453" i="9"/>
  <c r="Y503" i="9" s="1"/>
  <c r="R366" i="9"/>
  <c r="Y514" i="9" s="1"/>
  <c r="Y513" i="9" s="1"/>
  <c r="AE392" i="9"/>
  <c r="U466" i="24" l="1"/>
  <c r="U471" i="21"/>
  <c r="U473" i="23"/>
  <c r="R23" i="28" s="1"/>
  <c r="U445" i="25"/>
  <c r="U454" i="22"/>
  <c r="U468" i="21"/>
  <c r="L26" i="28"/>
  <c r="Y427" i="24"/>
  <c r="R22" i="28"/>
  <c r="L24" i="28"/>
  <c r="Y426" i="25"/>
  <c r="Y437" i="21"/>
  <c r="R25" i="28" s="1"/>
  <c r="L25" i="28"/>
  <c r="Y435" i="22"/>
  <c r="Y438" i="23"/>
  <c r="R26" i="28" l="1"/>
  <c r="R24" i="28"/>
  <c r="Q43" i="20" l="1"/>
  <c r="E43" i="20" s="1"/>
  <c r="H48" i="9"/>
  <c r="H53" i="9"/>
  <c r="H58" i="9"/>
  <c r="H63" i="9"/>
  <c r="H68" i="9"/>
  <c r="B109" i="9"/>
  <c r="B104" i="9"/>
  <c r="B99" i="9"/>
  <c r="B94" i="9"/>
  <c r="H88" i="9"/>
  <c r="H87" i="9"/>
  <c r="H86" i="9"/>
  <c r="H85" i="9"/>
  <c r="H84" i="9"/>
  <c r="T88" i="9"/>
  <c r="T89" i="25"/>
  <c r="T88" i="25"/>
  <c r="G111" i="25"/>
  <c r="X111" i="25" s="1"/>
  <c r="T87" i="25"/>
  <c r="G106" i="25"/>
  <c r="X106" i="25" s="1"/>
  <c r="T86" i="25"/>
  <c r="G101" i="25"/>
  <c r="X101" i="25" s="1"/>
  <c r="T85" i="25"/>
  <c r="T89" i="21"/>
  <c r="T88" i="21"/>
  <c r="G88" i="21"/>
  <c r="G111" i="21" s="1"/>
  <c r="X111" i="21" s="1"/>
  <c r="T87" i="21"/>
  <c r="G87" i="21"/>
  <c r="G106" i="21" s="1"/>
  <c r="X106" i="21" s="1"/>
  <c r="T86" i="21"/>
  <c r="G86" i="21"/>
  <c r="G101" i="21" s="1"/>
  <c r="X101" i="21" s="1"/>
  <c r="T85" i="21"/>
  <c r="T89" i="22"/>
  <c r="T88" i="22"/>
  <c r="G88" i="22"/>
  <c r="G111" i="22" s="1"/>
  <c r="X111" i="22" s="1"/>
  <c r="T87" i="22"/>
  <c r="G87" i="22"/>
  <c r="G106" i="22" s="1"/>
  <c r="X106" i="22" s="1"/>
  <c r="T86" i="22"/>
  <c r="G86" i="22"/>
  <c r="G101" i="22" s="1"/>
  <c r="X101" i="22" s="1"/>
  <c r="T85" i="22"/>
  <c r="T90" i="23"/>
  <c r="T89" i="23"/>
  <c r="G112" i="23"/>
  <c r="X112" i="23" s="1"/>
  <c r="T88" i="23"/>
  <c r="V88" i="23" s="1"/>
  <c r="G107" i="23"/>
  <c r="X107" i="23" s="1"/>
  <c r="T87" i="23"/>
  <c r="G102" i="23"/>
  <c r="X102" i="23" s="1"/>
  <c r="T86" i="23"/>
  <c r="Y68" i="9"/>
  <c r="AC68" i="9" s="1"/>
  <c r="X68" i="9"/>
  <c r="Y63" i="9"/>
  <c r="AC63" i="9" s="1"/>
  <c r="X63" i="9"/>
  <c r="Y58" i="9"/>
  <c r="AC58" i="9" s="1"/>
  <c r="X58" i="9"/>
  <c r="Y53" i="9"/>
  <c r="AC53" i="9" s="1"/>
  <c r="Y480" i="9"/>
  <c r="G26" i="9"/>
  <c r="K107" i="17"/>
  <c r="K88" i="17"/>
  <c r="K69" i="17"/>
  <c r="Z101" i="25" l="1"/>
  <c r="AD101" i="25"/>
  <c r="Z106" i="25"/>
  <c r="AD106" i="25"/>
  <c r="Z111" i="25"/>
  <c r="AD111" i="25"/>
  <c r="V87" i="25"/>
  <c r="R87" i="25" s="1"/>
  <c r="V88" i="25"/>
  <c r="R88" i="25" s="1"/>
  <c r="V85" i="25"/>
  <c r="R85" i="25" s="1"/>
  <c r="V86" i="25"/>
  <c r="R86" i="25" s="1"/>
  <c r="Z111" i="21"/>
  <c r="AD111" i="21"/>
  <c r="Z101" i="21"/>
  <c r="AD101" i="21"/>
  <c r="Z106" i="21"/>
  <c r="AD106" i="21"/>
  <c r="V87" i="21"/>
  <c r="R87" i="21" s="1"/>
  <c r="V85" i="21"/>
  <c r="R85" i="21" s="1"/>
  <c r="V88" i="21"/>
  <c r="R88" i="21" s="1"/>
  <c r="V86" i="21"/>
  <c r="R86" i="21" s="1"/>
  <c r="Z106" i="22"/>
  <c r="AD106" i="22"/>
  <c r="AD111" i="22"/>
  <c r="Z111" i="22"/>
  <c r="Z101" i="22"/>
  <c r="AD101" i="22"/>
  <c r="V88" i="22"/>
  <c r="R88" i="22" s="1"/>
  <c r="V87" i="22"/>
  <c r="R87" i="22" s="1"/>
  <c r="V85" i="22"/>
  <c r="V86" i="22"/>
  <c r="R86" i="22" s="1"/>
  <c r="AD112" i="23"/>
  <c r="Z112" i="23"/>
  <c r="Z102" i="23"/>
  <c r="AD102" i="23"/>
  <c r="Z107" i="23"/>
  <c r="AD107" i="23"/>
  <c r="V87" i="23"/>
  <c r="R87" i="23" s="1"/>
  <c r="V86" i="23"/>
  <c r="V89" i="23"/>
  <c r="R89" i="23" s="1"/>
  <c r="R88" i="23"/>
  <c r="Q42" i="20"/>
  <c r="E42" i="20" s="1"/>
  <c r="AE11" i="9"/>
  <c r="Z11" i="9"/>
  <c r="AD68" i="9"/>
  <c r="AE68" i="9" s="1"/>
  <c r="AD53" i="9"/>
  <c r="AE53" i="9" s="1"/>
  <c r="AD63" i="9"/>
  <c r="AE63" i="9" s="1"/>
  <c r="AD58" i="9"/>
  <c r="AE58" i="9" s="1"/>
  <c r="Z53" i="9"/>
  <c r="R86" i="9"/>
  <c r="Z58" i="9"/>
  <c r="R85" i="9"/>
  <c r="Z63" i="9"/>
  <c r="Z68" i="9"/>
  <c r="R85" i="22" l="1"/>
  <c r="R86" i="23"/>
  <c r="AE106" i="25"/>
  <c r="AE111" i="25"/>
  <c r="AE101" i="25"/>
  <c r="AE106" i="21"/>
  <c r="AE101" i="21"/>
  <c r="AE111" i="21"/>
  <c r="AE101" i="22"/>
  <c r="AE111" i="22"/>
  <c r="AE106" i="22"/>
  <c r="AE107" i="23"/>
  <c r="AE102" i="23"/>
  <c r="AE112" i="23"/>
  <c r="R84" i="9"/>
  <c r="K49" i="17" l="1"/>
  <c r="I23" i="20" l="1"/>
  <c r="I21" i="20"/>
  <c r="B334" i="9"/>
  <c r="B326" i="9"/>
  <c r="B318" i="9"/>
  <c r="B310" i="9"/>
  <c r="B302" i="9"/>
  <c r="Y337" i="9"/>
  <c r="X337" i="9"/>
  <c r="Y329" i="9"/>
  <c r="X329" i="9"/>
  <c r="Y321" i="9"/>
  <c r="X321" i="9"/>
  <c r="Y313" i="9"/>
  <c r="G277" i="9"/>
  <c r="T253" i="9"/>
  <c r="U253" i="9" s="1"/>
  <c r="T251" i="9"/>
  <c r="R249" i="9"/>
  <c r="Y397" i="9"/>
  <c r="AC397" i="9" s="1"/>
  <c r="X397" i="9"/>
  <c r="AD397" i="9" s="1"/>
  <c r="R389" i="9"/>
  <c r="T385" i="9"/>
  <c r="T381" i="9"/>
  <c r="T377" i="9"/>
  <c r="R374" i="9"/>
  <c r="R372" i="9"/>
  <c r="U155" i="9"/>
  <c r="T155" i="9"/>
  <c r="V155" i="9" s="1"/>
  <c r="U149" i="9"/>
  <c r="T149" i="9"/>
  <c r="U131" i="9"/>
  <c r="T131" i="9"/>
  <c r="V131" i="9" s="1"/>
  <c r="U39" i="9"/>
  <c r="T39" i="9"/>
  <c r="Y115" i="9"/>
  <c r="AC115" i="9" s="1"/>
  <c r="D115" i="9"/>
  <c r="H115" i="9" s="1"/>
  <c r="B114" i="9"/>
  <c r="Y110" i="9"/>
  <c r="AC110" i="9" s="1"/>
  <c r="D110" i="9"/>
  <c r="H110" i="9" s="1"/>
  <c r="C110" i="9"/>
  <c r="Y105" i="9"/>
  <c r="AC105" i="9" s="1"/>
  <c r="D105" i="9"/>
  <c r="H105" i="9" s="1"/>
  <c r="C105" i="9"/>
  <c r="Y100" i="9"/>
  <c r="AC100" i="9" s="1"/>
  <c r="D100" i="9"/>
  <c r="H100" i="9" s="1"/>
  <c r="C100" i="9"/>
  <c r="Y95" i="9"/>
  <c r="AC95" i="9" s="1"/>
  <c r="D95" i="9"/>
  <c r="H95" i="9" s="1"/>
  <c r="R82" i="9"/>
  <c r="T11" i="26"/>
  <c r="R7" i="26"/>
  <c r="R238" i="25"/>
  <c r="R223" i="25"/>
  <c r="R221" i="25"/>
  <c r="R83" i="25"/>
  <c r="R266" i="21"/>
  <c r="R251" i="21"/>
  <c r="R249" i="21"/>
  <c r="R83" i="21"/>
  <c r="R258" i="22"/>
  <c r="R241" i="22"/>
  <c r="R332" i="23"/>
  <c r="R255" i="23"/>
  <c r="R253" i="23"/>
  <c r="U49" i="23"/>
  <c r="T49" i="23"/>
  <c r="V49" i="23" s="1"/>
  <c r="U45" i="23"/>
  <c r="T45" i="23"/>
  <c r="V45" i="23" s="1"/>
  <c r="U41" i="23"/>
  <c r="T41" i="23"/>
  <c r="V41" i="23" s="1"/>
  <c r="K40" i="17"/>
  <c r="U11" i="26" l="1"/>
  <c r="Y11" i="26"/>
  <c r="V251" i="9"/>
  <c r="U251" i="9"/>
  <c r="V149" i="9"/>
  <c r="R149" i="9" s="1"/>
  <c r="V11" i="26"/>
  <c r="Z11" i="26"/>
  <c r="X11" i="26"/>
  <c r="W11" i="26"/>
  <c r="X251" i="9"/>
  <c r="W251" i="9"/>
  <c r="Z251" i="9"/>
  <c r="Y251" i="9"/>
  <c r="Z253" i="9"/>
  <c r="Y253" i="9"/>
  <c r="X253" i="9"/>
  <c r="W253" i="9"/>
  <c r="V253" i="9"/>
  <c r="V39" i="9"/>
  <c r="R39" i="9" s="1"/>
  <c r="Y482" i="9" s="1"/>
  <c r="R377" i="9"/>
  <c r="R381" i="9"/>
  <c r="X115" i="9"/>
  <c r="Z115" i="9" s="1"/>
  <c r="R385" i="9"/>
  <c r="Z397" i="9"/>
  <c r="R155" i="9"/>
  <c r="X95" i="9"/>
  <c r="AD95" i="9" s="1"/>
  <c r="AE95" i="9" s="1"/>
  <c r="R131" i="9"/>
  <c r="Y492" i="9" s="1"/>
  <c r="X105" i="9"/>
  <c r="X110" i="9"/>
  <c r="X100" i="9"/>
  <c r="R41" i="23"/>
  <c r="R45" i="23"/>
  <c r="R49" i="23"/>
  <c r="Y494" i="9" l="1"/>
  <c r="Y517" i="9"/>
  <c r="Y423" i="23"/>
  <c r="U470" i="23" s="1"/>
  <c r="J23" i="28" s="1"/>
  <c r="R253" i="9"/>
  <c r="Y502" i="9" s="1"/>
  <c r="AD115" i="9"/>
  <c r="AE115" i="9" s="1"/>
  <c r="R251" i="9"/>
  <c r="Y501" i="9" s="1"/>
  <c r="Z110" i="9"/>
  <c r="AE397" i="9"/>
  <c r="Z95" i="9"/>
  <c r="AD110" i="9"/>
  <c r="AE110" i="9" s="1"/>
  <c r="Z105" i="9"/>
  <c r="AD105" i="9"/>
  <c r="AE105" i="9" s="1"/>
  <c r="Z100" i="9"/>
  <c r="AD100" i="9"/>
  <c r="R11" i="26"/>
  <c r="Y500" i="9" l="1"/>
  <c r="Y405" i="26"/>
  <c r="U414" i="26" s="1"/>
  <c r="R27" i="28"/>
  <c r="AE100" i="9"/>
  <c r="Y403" i="26" l="1"/>
  <c r="Y407" i="26" s="1"/>
  <c r="Z403" i="26" s="1"/>
  <c r="U415" i="26"/>
  <c r="M27" i="28" l="1"/>
  <c r="I27" i="28"/>
  <c r="O27" i="28"/>
  <c r="Q27" i="28"/>
  <c r="S27" i="28"/>
  <c r="Z404" i="26"/>
  <c r="Z405" i="26"/>
  <c r="V415" i="26"/>
  <c r="V413" i="26"/>
  <c r="V412" i="26"/>
  <c r="V411" i="26"/>
  <c r="V410" i="26"/>
  <c r="V409" i="26"/>
  <c r="V414" i="26"/>
  <c r="U55" i="24"/>
  <c r="T55" i="24"/>
  <c r="V55" i="24" s="1"/>
  <c r="U51" i="24"/>
  <c r="T51" i="24"/>
  <c r="V51" i="24" s="1"/>
  <c r="U47" i="24"/>
  <c r="T47" i="24"/>
  <c r="V47" i="24" s="1"/>
  <c r="T96" i="24"/>
  <c r="T95" i="24"/>
  <c r="G118" i="24"/>
  <c r="X118" i="24" s="1"/>
  <c r="T94" i="24"/>
  <c r="G113" i="24"/>
  <c r="X113" i="24" s="1"/>
  <c r="T93" i="24"/>
  <c r="G108" i="24"/>
  <c r="X108" i="24" s="1"/>
  <c r="T92" i="24"/>
  <c r="U345" i="9"/>
  <c r="V345" i="9"/>
  <c r="R345" i="9" s="1"/>
  <c r="H110" i="16"/>
  <c r="H108" i="16"/>
  <c r="Z407" i="26" l="1"/>
  <c r="AD118" i="24"/>
  <c r="Z118" i="24"/>
  <c r="Z108" i="24"/>
  <c r="AD108" i="24"/>
  <c r="Z113" i="24"/>
  <c r="AD113" i="24"/>
  <c r="V94" i="24"/>
  <c r="R94" i="24" s="1"/>
  <c r="R51" i="24"/>
  <c r="V95" i="24"/>
  <c r="R95" i="24" s="1"/>
  <c r="V92" i="24"/>
  <c r="R92" i="24" s="1"/>
  <c r="R55" i="24"/>
  <c r="R47" i="24"/>
  <c r="V93" i="24"/>
  <c r="R93" i="24" s="1"/>
  <c r="H109" i="16"/>
  <c r="H107" i="16"/>
  <c r="E107" i="16"/>
  <c r="C107" i="16"/>
  <c r="T355" i="9"/>
  <c r="V355" i="9" s="1"/>
  <c r="U350" i="9"/>
  <c r="T350" i="9"/>
  <c r="U355" i="9"/>
  <c r="F29" i="20"/>
  <c r="U124" i="9"/>
  <c r="K444" i="9" l="1"/>
  <c r="R444" i="9" s="1"/>
  <c r="Y523" i="9" s="1"/>
  <c r="K318" i="24"/>
  <c r="R318" i="24" s="1"/>
  <c r="Y437" i="24" s="1"/>
  <c r="K272" i="25"/>
  <c r="R272" i="25" s="1"/>
  <c r="Y435" i="25" s="1"/>
  <c r="R77" i="9"/>
  <c r="Y486" i="9" s="1"/>
  <c r="R423" i="9"/>
  <c r="K304" i="23"/>
  <c r="R304" i="23" s="1"/>
  <c r="Y447" i="23" s="1"/>
  <c r="K293" i="25"/>
  <c r="R293" i="25" s="1"/>
  <c r="Y436" i="25" s="1"/>
  <c r="K313" i="22"/>
  <c r="R313" i="22" s="1"/>
  <c r="Y445" i="22" s="1"/>
  <c r="K297" i="24"/>
  <c r="R297" i="24" s="1"/>
  <c r="Y436" i="24" s="1"/>
  <c r="K292" i="22"/>
  <c r="R292" i="22" s="1"/>
  <c r="Y444" i="22" s="1"/>
  <c r="K325" i="23"/>
  <c r="R325" i="23" s="1"/>
  <c r="Y448" i="23" s="1"/>
  <c r="K300" i="21"/>
  <c r="R300" i="21" s="1"/>
  <c r="Y446" i="21" s="1"/>
  <c r="K321" i="21"/>
  <c r="R321" i="21" s="1"/>
  <c r="Y447" i="21" s="1"/>
  <c r="K191" i="23"/>
  <c r="K161" i="21"/>
  <c r="K169" i="21"/>
  <c r="K177" i="21"/>
  <c r="K169" i="23"/>
  <c r="K175" i="21"/>
  <c r="K160" i="22"/>
  <c r="K185" i="23"/>
  <c r="K167" i="23"/>
  <c r="K167" i="21"/>
  <c r="K177" i="23"/>
  <c r="K175" i="23"/>
  <c r="K158" i="22"/>
  <c r="K183" i="23"/>
  <c r="K185" i="21"/>
  <c r="K183" i="21"/>
  <c r="K193" i="23"/>
  <c r="Y417" i="24"/>
  <c r="L22" i="28" s="1"/>
  <c r="V350" i="9"/>
  <c r="R350" i="9" s="1"/>
  <c r="AE113" i="24"/>
  <c r="AE108" i="24"/>
  <c r="AE118" i="24"/>
  <c r="R248" i="24"/>
  <c r="R90" i="24"/>
  <c r="R355" i="9"/>
  <c r="Y435" i="24" l="1"/>
  <c r="U465" i="24"/>
  <c r="U453" i="22"/>
  <c r="P24" i="28" s="1"/>
  <c r="Y443" i="22"/>
  <c r="Y446" i="23"/>
  <c r="U472" i="23"/>
  <c r="U470" i="21"/>
  <c r="Y445" i="21"/>
  <c r="U444" i="25"/>
  <c r="Y434" i="25"/>
  <c r="V28" i="28"/>
  <c r="Y522" i="9"/>
  <c r="U534" i="9" s="1"/>
  <c r="Y511" i="9"/>
  <c r="N23" i="28" l="1"/>
  <c r="N28" i="28" s="1"/>
  <c r="P23" i="28"/>
  <c r="P21" i="28"/>
  <c r="Y521" i="9"/>
  <c r="R263" i="24"/>
  <c r="V162" i="9"/>
  <c r="R162" i="9" s="1"/>
  <c r="Y495" i="9" s="1"/>
  <c r="U143" i="9"/>
  <c r="T143" i="9"/>
  <c r="X138" i="9"/>
  <c r="Y138" i="9"/>
  <c r="AC138" i="9" s="1"/>
  <c r="F7" i="20"/>
  <c r="F8" i="20"/>
  <c r="S6" i="20"/>
  <c r="F6" i="20" s="1"/>
  <c r="R31" i="9" l="1"/>
  <c r="Y479" i="9" s="1"/>
  <c r="R34" i="9"/>
  <c r="Y481" i="9" s="1"/>
  <c r="V143" i="9"/>
  <c r="R139" i="9" s="1"/>
  <c r="AD138" i="9"/>
  <c r="AG138" i="9" s="1"/>
  <c r="Z138" i="9"/>
  <c r="Y478" i="9" l="1"/>
  <c r="AE138" i="9"/>
  <c r="AF138" i="9" s="1"/>
  <c r="F5" i="20" l="1"/>
  <c r="M18" i="17"/>
  <c r="I14" i="17"/>
  <c r="AA283" i="23" l="1"/>
  <c r="AA288" i="23"/>
  <c r="AA278" i="23"/>
  <c r="U89" i="25"/>
  <c r="V89" i="25" s="1"/>
  <c r="R89" i="25" s="1"/>
  <c r="Y418" i="25" s="1"/>
  <c r="U440" i="25" s="1"/>
  <c r="H26" i="28" s="1"/>
  <c r="U96" i="24"/>
  <c r="V96" i="24" s="1"/>
  <c r="R96" i="24" s="1"/>
  <c r="U89" i="21"/>
  <c r="V89" i="21" s="1"/>
  <c r="R89" i="21" s="1"/>
  <c r="Y426" i="21" s="1"/>
  <c r="U466" i="21" s="1"/>
  <c r="U90" i="23"/>
  <c r="V90" i="23" s="1"/>
  <c r="G126" i="23" s="1"/>
  <c r="T126" i="23" s="1"/>
  <c r="V126" i="23" s="1"/>
  <c r="R126" i="23" s="1"/>
  <c r="U89" i="22"/>
  <c r="V89" i="22" s="1"/>
  <c r="G125" i="22" s="1"/>
  <c r="U88" i="9"/>
  <c r="V88" i="9" s="1"/>
  <c r="R30" i="9"/>
  <c r="Y540" i="9" s="1"/>
  <c r="Y539" i="9" s="1"/>
  <c r="U21" i="28" s="1"/>
  <c r="AB139" i="9"/>
  <c r="AA266" i="24" l="1"/>
  <c r="AB266" i="24"/>
  <c r="AA241" i="25"/>
  <c r="AB241" i="25"/>
  <c r="AA273" i="23"/>
  <c r="AB273" i="23"/>
  <c r="AB261" i="22"/>
  <c r="AA261" i="22"/>
  <c r="AA392" i="9"/>
  <c r="AB392" i="9"/>
  <c r="AA269" i="21"/>
  <c r="AB269" i="21"/>
  <c r="H25" i="28"/>
  <c r="H22" i="28"/>
  <c r="Y421" i="24"/>
  <c r="U461" i="24" s="1"/>
  <c r="R89" i="22"/>
  <c r="Y425" i="22" s="1"/>
  <c r="U449" i="22" s="1"/>
  <c r="R90" i="23"/>
  <c r="Y427" i="23" s="1"/>
  <c r="U468" i="23" s="1"/>
  <c r="F23" i="28" s="1"/>
  <c r="AA402" i="9"/>
  <c r="AB402" i="9"/>
  <c r="AA276" i="22"/>
  <c r="AB276" i="22"/>
  <c r="AA284" i="21"/>
  <c r="AB284" i="21"/>
  <c r="AA412" i="9"/>
  <c r="AB412" i="9"/>
  <c r="AB283" i="23"/>
  <c r="AA266" i="22"/>
  <c r="AB266" i="22"/>
  <c r="AA281" i="24"/>
  <c r="AB281" i="24"/>
  <c r="AA407" i="9"/>
  <c r="AB407" i="9"/>
  <c r="AA274" i="21"/>
  <c r="AB274" i="21"/>
  <c r="AA286" i="24"/>
  <c r="AB286" i="24"/>
  <c r="AA397" i="9"/>
  <c r="AB397" i="9"/>
  <c r="AA261" i="25"/>
  <c r="AB261" i="25"/>
  <c r="AB281" i="22"/>
  <c r="AA281" i="22"/>
  <c r="AA271" i="24"/>
  <c r="AB271" i="24"/>
  <c r="AA293" i="23"/>
  <c r="AB293" i="23"/>
  <c r="AA289" i="21"/>
  <c r="AB289" i="21"/>
  <c r="AA271" i="22"/>
  <c r="AB271" i="22"/>
  <c r="AA246" i="25"/>
  <c r="AB246" i="25"/>
  <c r="AA251" i="25"/>
  <c r="AB251" i="25"/>
  <c r="AA256" i="25"/>
  <c r="AB256" i="25"/>
  <c r="AA279" i="21"/>
  <c r="AB279" i="21"/>
  <c r="AB288" i="23"/>
  <c r="AB278" i="23"/>
  <c r="AA276" i="24"/>
  <c r="AB276" i="24"/>
  <c r="R88" i="9"/>
  <c r="G124" i="9"/>
  <c r="T124" i="9" s="1"/>
  <c r="V124" i="9" s="1"/>
  <c r="R124" i="9" s="1"/>
  <c r="Y491" i="9" s="1"/>
  <c r="AD139" i="9"/>
  <c r="AG139" i="9" s="1"/>
  <c r="H24" i="28" l="1"/>
  <c r="U535" i="9"/>
  <c r="R21" i="28" s="1"/>
  <c r="R28" i="28" s="1"/>
  <c r="Y487" i="9"/>
  <c r="U530" i="9" s="1"/>
  <c r="Y433" i="24"/>
  <c r="Y443" i="21"/>
  <c r="Y444" i="23"/>
  <c r="Y441" i="22"/>
  <c r="Y432" i="25"/>
  <c r="Y519" i="9"/>
  <c r="G61" i="16"/>
  <c r="G62" i="16"/>
  <c r="G63" i="16"/>
  <c r="G64" i="16"/>
  <c r="G65" i="16"/>
  <c r="G66" i="16"/>
  <c r="G67" i="16"/>
  <c r="G68" i="16"/>
  <c r="G69" i="16"/>
  <c r="G70" i="16"/>
  <c r="G71" i="16"/>
  <c r="G72" i="16"/>
  <c r="G73" i="16"/>
  <c r="G74" i="16"/>
  <c r="G75" i="16"/>
  <c r="G107" i="16" s="1"/>
  <c r="G76" i="16"/>
  <c r="G77" i="16"/>
  <c r="G78" i="16"/>
  <c r="G79" i="16"/>
  <c r="G80" i="16"/>
  <c r="G81" i="16"/>
  <c r="G82" i="16"/>
  <c r="G83" i="16"/>
  <c r="G84" i="16"/>
  <c r="G86" i="16"/>
  <c r="G87" i="16"/>
  <c r="G88" i="16"/>
  <c r="G89" i="16"/>
  <c r="G90" i="16"/>
  <c r="G91" i="16"/>
  <c r="G92" i="16"/>
  <c r="G93" i="16"/>
  <c r="G94" i="16"/>
  <c r="G95" i="16"/>
  <c r="G60" i="16"/>
  <c r="E59" i="16"/>
  <c r="G59" i="16" s="1"/>
  <c r="E58" i="16"/>
  <c r="G58" i="16" s="1"/>
  <c r="E57" i="16"/>
  <c r="G57" i="16" s="1"/>
  <c r="E56" i="16"/>
  <c r="G56" i="16" s="1"/>
  <c r="E55" i="16"/>
  <c r="G55" i="16" s="1"/>
  <c r="E54" i="16"/>
  <c r="G54" i="16" s="1"/>
  <c r="E53" i="16"/>
  <c r="G53" i="16" s="1"/>
  <c r="E52" i="16"/>
  <c r="G52" i="16" s="1"/>
  <c r="E51" i="16"/>
  <c r="G51" i="16" s="1"/>
  <c r="E50" i="16"/>
  <c r="G50" i="16" s="1"/>
  <c r="E49" i="16"/>
  <c r="G49" i="16" s="1"/>
  <c r="E48" i="16"/>
  <c r="G48" i="16" s="1"/>
  <c r="E47" i="16"/>
  <c r="G47" i="16" s="1"/>
  <c r="E46" i="16"/>
  <c r="G46" i="16" s="1"/>
  <c r="E45" i="16"/>
  <c r="G45" i="16" s="1"/>
  <c r="AF76" i="22" l="1"/>
  <c r="AG83" i="24"/>
  <c r="AF77" i="23"/>
  <c r="AF76" i="21"/>
  <c r="AG76" i="25"/>
  <c r="AF68" i="9"/>
  <c r="Z172" i="22"/>
  <c r="R163" i="22"/>
  <c r="R162" i="22" s="1"/>
  <c r="Z329" i="9"/>
  <c r="R187" i="22"/>
  <c r="R164" i="23"/>
  <c r="R163" i="23" s="1"/>
  <c r="R179" i="24"/>
  <c r="Z173" i="21"/>
  <c r="R179" i="22"/>
  <c r="R155" i="24"/>
  <c r="R154" i="24" s="1"/>
  <c r="R163" i="24"/>
  <c r="R162" i="24" s="1"/>
  <c r="Z181" i="25"/>
  <c r="R172" i="25"/>
  <c r="R171" i="25" s="1"/>
  <c r="R312" i="9"/>
  <c r="R311" i="9" s="1"/>
  <c r="Z165" i="21"/>
  <c r="R180" i="23"/>
  <c r="R179" i="23" s="1"/>
  <c r="R171" i="24"/>
  <c r="R170" i="24" s="1"/>
  <c r="Z181" i="21"/>
  <c r="Z321" i="9"/>
  <c r="Z157" i="21"/>
  <c r="Z149" i="21"/>
  <c r="Z189" i="23"/>
  <c r="Z157" i="23"/>
  <c r="R172" i="23"/>
  <c r="R171" i="23" s="1"/>
  <c r="Z165" i="25"/>
  <c r="Z337" i="9"/>
  <c r="Z305" i="9"/>
  <c r="Z157" i="25"/>
  <c r="Z149" i="25"/>
  <c r="R154" i="22"/>
  <c r="AA76" i="22"/>
  <c r="AB76" i="22"/>
  <c r="AF261" i="25"/>
  <c r="AG276" i="24"/>
  <c r="R276" i="24" s="1"/>
  <c r="AF281" i="22"/>
  <c r="AF281" i="24"/>
  <c r="AF407" i="9"/>
  <c r="AF271" i="22"/>
  <c r="AF284" i="21"/>
  <c r="AF271" i="24"/>
  <c r="AF246" i="25"/>
  <c r="AF402" i="9"/>
  <c r="AF279" i="21"/>
  <c r="AF274" i="21"/>
  <c r="AF283" i="23"/>
  <c r="AF289" i="21"/>
  <c r="AF412" i="9"/>
  <c r="AG288" i="23"/>
  <c r="R288" i="23" s="1"/>
  <c r="AF286" i="24"/>
  <c r="AF278" i="23"/>
  <c r="AF293" i="23"/>
  <c r="AG256" i="25"/>
  <c r="R256" i="25" s="1"/>
  <c r="AF266" i="22"/>
  <c r="AF251" i="25"/>
  <c r="AG276" i="22"/>
  <c r="R276" i="22" s="1"/>
  <c r="AF397" i="9"/>
  <c r="H21" i="28"/>
  <c r="Z164" i="22"/>
  <c r="Z173" i="23"/>
  <c r="AA138" i="9"/>
  <c r="AB138" i="9"/>
  <c r="R138" i="9" s="1"/>
  <c r="Z164" i="24" l="1"/>
  <c r="Z313" i="9"/>
  <c r="R148" i="25"/>
  <c r="R320" i="9"/>
  <c r="R319" i="9" s="1"/>
  <c r="Z180" i="24"/>
  <c r="AG76" i="22"/>
  <c r="R76" i="22" s="1"/>
  <c r="R180" i="25"/>
  <c r="AF76" i="25"/>
  <c r="R148" i="21"/>
  <c r="R147" i="21" s="1"/>
  <c r="Z188" i="22"/>
  <c r="R156" i="21"/>
  <c r="R155" i="21" s="1"/>
  <c r="R164" i="25"/>
  <c r="R163" i="25" s="1"/>
  <c r="Z173" i="25"/>
  <c r="AG289" i="21"/>
  <c r="R289" i="21" s="1"/>
  <c r="AF276" i="24"/>
  <c r="AG271" i="22"/>
  <c r="R271" i="22" s="1"/>
  <c r="AG407" i="9"/>
  <c r="R407" i="9" s="1"/>
  <c r="AF276" i="22"/>
  <c r="AG283" i="23"/>
  <c r="R283" i="23" s="1"/>
  <c r="Z188" i="24"/>
  <c r="R188" i="23"/>
  <c r="R171" i="22"/>
  <c r="R170" i="22" s="1"/>
  <c r="Y431" i="22" s="1"/>
  <c r="Z172" i="24"/>
  <c r="R164" i="21"/>
  <c r="R163" i="21" s="1"/>
  <c r="Z156" i="24"/>
  <c r="AG278" i="23"/>
  <c r="R278" i="23" s="1"/>
  <c r="AG68" i="9"/>
  <c r="AG284" i="21"/>
  <c r="R284" i="21" s="1"/>
  <c r="AG412" i="9"/>
  <c r="R412" i="9" s="1"/>
  <c r="AG279" i="21"/>
  <c r="R279" i="21" s="1"/>
  <c r="AG271" i="24"/>
  <c r="R271" i="24" s="1"/>
  <c r="AG261" i="25"/>
  <c r="R261" i="25" s="1"/>
  <c r="AG397" i="9"/>
  <c r="R397" i="9" s="1"/>
  <c r="AF83" i="24"/>
  <c r="R328" i="9"/>
  <c r="R327" i="9" s="1"/>
  <c r="AF288" i="23"/>
  <c r="Z181" i="23"/>
  <c r="Z156" i="22"/>
  <c r="AG266" i="22"/>
  <c r="R266" i="22" s="1"/>
  <c r="AG402" i="9"/>
  <c r="R402" i="9" s="1"/>
  <c r="AF256" i="25"/>
  <c r="AG251" i="25"/>
  <c r="R251" i="25" s="1"/>
  <c r="AG293" i="23"/>
  <c r="R293" i="23" s="1"/>
  <c r="AG76" i="21"/>
  <c r="R156" i="25"/>
  <c r="R155" i="25" s="1"/>
  <c r="AG246" i="25"/>
  <c r="R246" i="25" s="1"/>
  <c r="AA22" i="23"/>
  <c r="AB22" i="23"/>
  <c r="AF21" i="9"/>
  <c r="AG21" i="9"/>
  <c r="AF61" i="22"/>
  <c r="AG61" i="22"/>
  <c r="AA97" i="23"/>
  <c r="AB97" i="23"/>
  <c r="AG281" i="22"/>
  <c r="R281" i="22" s="1"/>
  <c r="AA272" i="9"/>
  <c r="AB272" i="9"/>
  <c r="AA21" i="24"/>
  <c r="AB21" i="24"/>
  <c r="AA16" i="22"/>
  <c r="AB16" i="22"/>
  <c r="AA16" i="9"/>
  <c r="AB16" i="9"/>
  <c r="AG261" i="22"/>
  <c r="R261" i="22" s="1"/>
  <c r="AF261" i="22"/>
  <c r="AF78" i="24"/>
  <c r="AG78" i="24"/>
  <c r="AF116" i="25"/>
  <c r="AG116" i="25"/>
  <c r="AF96" i="25"/>
  <c r="AG96" i="25"/>
  <c r="AA111" i="21"/>
  <c r="AB111" i="21"/>
  <c r="AA61" i="21"/>
  <c r="AB61" i="21"/>
  <c r="AA111" i="22"/>
  <c r="AB111" i="22"/>
  <c r="AA267" i="9"/>
  <c r="AB267" i="9"/>
  <c r="AF96" i="21"/>
  <c r="AG96" i="21"/>
  <c r="Z219" i="9"/>
  <c r="R218" i="9"/>
  <c r="AG58" i="9"/>
  <c r="AF58" i="9"/>
  <c r="AF21" i="24"/>
  <c r="AG21" i="24"/>
  <c r="AF16" i="22"/>
  <c r="AG16" i="22"/>
  <c r="AF22" i="23"/>
  <c r="AG22" i="23"/>
  <c r="AA96" i="21"/>
  <c r="AB96" i="21"/>
  <c r="AA96" i="22"/>
  <c r="AB96" i="22"/>
  <c r="AB48" i="9"/>
  <c r="AA48" i="9"/>
  <c r="AA17" i="23"/>
  <c r="AB17" i="23"/>
  <c r="AA111" i="25"/>
  <c r="AB111" i="25"/>
  <c r="AA63" i="24"/>
  <c r="AB63" i="24"/>
  <c r="AB68" i="9"/>
  <c r="AA68" i="9"/>
  <c r="AA83" i="24"/>
  <c r="AB83" i="24"/>
  <c r="R83" i="24" s="1"/>
  <c r="AG11" i="9"/>
  <c r="AF11" i="9"/>
  <c r="AG96" i="22"/>
  <c r="AF267" i="9"/>
  <c r="AG267" i="9"/>
  <c r="AF16" i="25"/>
  <c r="AG16" i="25"/>
  <c r="AA105" i="9"/>
  <c r="AB105" i="9"/>
  <c r="AA63" i="9"/>
  <c r="AB63" i="9"/>
  <c r="AA66" i="22"/>
  <c r="AB66" i="22"/>
  <c r="AA62" i="23"/>
  <c r="AB62" i="23"/>
  <c r="AA11" i="22"/>
  <c r="AB11" i="22"/>
  <c r="AF392" i="9"/>
  <c r="AG392" i="9"/>
  <c r="R392" i="9" s="1"/>
  <c r="AF11" i="21"/>
  <c r="AG11" i="21"/>
  <c r="AF21" i="25"/>
  <c r="AG21" i="25"/>
  <c r="AG11" i="24"/>
  <c r="AF11" i="24"/>
  <c r="AG21" i="21"/>
  <c r="AF21" i="21"/>
  <c r="AA95" i="9"/>
  <c r="AB95" i="9"/>
  <c r="AA57" i="23"/>
  <c r="AB57" i="23"/>
  <c r="R242" i="9"/>
  <c r="R241" i="9" s="1"/>
  <c r="Z243" i="9"/>
  <c r="AF16" i="24"/>
  <c r="AG16" i="24"/>
  <c r="AF72" i="23"/>
  <c r="AG72" i="23"/>
  <c r="AG48" i="9"/>
  <c r="AF48" i="9"/>
  <c r="AG16" i="9"/>
  <c r="AF16" i="9"/>
  <c r="AA115" i="9"/>
  <c r="AB115" i="9"/>
  <c r="AA12" i="23"/>
  <c r="AB12" i="23"/>
  <c r="AF63" i="9"/>
  <c r="AG63" i="9"/>
  <c r="AG77" i="23"/>
  <c r="AA16" i="24"/>
  <c r="AB16" i="24"/>
  <c r="AA11" i="21"/>
  <c r="AB11" i="21"/>
  <c r="Z235" i="9"/>
  <c r="AF56" i="21"/>
  <c r="AG56" i="21"/>
  <c r="AF56" i="25"/>
  <c r="AG56" i="25"/>
  <c r="AF116" i="22"/>
  <c r="AG116" i="22"/>
  <c r="AF101" i="22"/>
  <c r="AG101" i="22"/>
  <c r="AA102" i="23"/>
  <c r="AB102" i="23"/>
  <c r="AA56" i="21"/>
  <c r="AB56" i="21"/>
  <c r="R336" i="9"/>
  <c r="R335" i="9" s="1"/>
  <c r="AA56" i="25"/>
  <c r="AB56" i="25"/>
  <c r="AF272" i="9"/>
  <c r="AG272" i="9"/>
  <c r="AG71" i="22"/>
  <c r="AF71" i="22"/>
  <c r="AF12" i="23"/>
  <c r="AG12" i="23"/>
  <c r="AA106" i="21"/>
  <c r="AB106" i="21"/>
  <c r="AF102" i="23"/>
  <c r="AG102" i="23"/>
  <c r="AA11" i="24"/>
  <c r="AB11" i="24"/>
  <c r="AG68" i="24"/>
  <c r="AF68" i="24"/>
  <c r="AA76" i="21"/>
  <c r="AB76" i="21"/>
  <c r="AA67" i="23"/>
  <c r="AB67" i="23"/>
  <c r="AB76" i="25"/>
  <c r="AA76" i="25"/>
  <c r="AA16" i="25"/>
  <c r="AB16" i="25"/>
  <c r="AF100" i="9"/>
  <c r="AG100" i="9"/>
  <c r="AF116" i="21"/>
  <c r="AG116" i="21"/>
  <c r="AF111" i="25"/>
  <c r="AG111" i="25"/>
  <c r="AF61" i="25"/>
  <c r="AG61" i="25"/>
  <c r="AF66" i="22"/>
  <c r="AG66" i="22"/>
  <c r="AF113" i="24"/>
  <c r="AG113" i="24"/>
  <c r="AA110" i="9"/>
  <c r="AB110" i="9"/>
  <c r="AF66" i="21"/>
  <c r="AG66" i="21"/>
  <c r="AF97" i="23"/>
  <c r="AG97" i="23"/>
  <c r="AA101" i="22"/>
  <c r="AB101" i="22"/>
  <c r="Z165" i="23"/>
  <c r="R172" i="21"/>
  <c r="R171" i="21" s="1"/>
  <c r="AG286" i="24"/>
  <c r="R286" i="24" s="1"/>
  <c r="R156" i="23"/>
  <c r="AA103" i="24"/>
  <c r="AB103" i="24"/>
  <c r="AA58" i="9"/>
  <c r="AB58" i="9"/>
  <c r="AA73" i="24"/>
  <c r="AB73" i="24"/>
  <c r="AA16" i="21"/>
  <c r="AB16" i="21"/>
  <c r="AF115" i="9"/>
  <c r="AG115" i="9"/>
  <c r="AF266" i="24"/>
  <c r="AG266" i="24"/>
  <c r="R266" i="24" s="1"/>
  <c r="AF56" i="22"/>
  <c r="AG56" i="22"/>
  <c r="AF61" i="21"/>
  <c r="AG61" i="21"/>
  <c r="AF67" i="23"/>
  <c r="AG67" i="23"/>
  <c r="AA100" i="9"/>
  <c r="AB100" i="9"/>
  <c r="AF269" i="21"/>
  <c r="AG269" i="21"/>
  <c r="R269" i="21" s="1"/>
  <c r="AA106" i="22"/>
  <c r="AB106" i="22"/>
  <c r="AA61" i="22"/>
  <c r="AB61" i="22"/>
  <c r="AA21" i="25"/>
  <c r="AB21" i="25"/>
  <c r="AA53" i="9"/>
  <c r="AB53" i="9"/>
  <c r="AF111" i="21"/>
  <c r="AG111" i="21"/>
  <c r="AG262" i="9"/>
  <c r="AF262" i="9"/>
  <c r="AF106" i="25"/>
  <c r="AG106" i="25"/>
  <c r="AF123" i="24"/>
  <c r="AG123" i="24"/>
  <c r="AA116" i="21"/>
  <c r="AB116" i="21"/>
  <c r="AA61" i="25"/>
  <c r="AB61" i="25"/>
  <c r="AA116" i="25"/>
  <c r="AB116" i="25"/>
  <c r="AF53" i="9"/>
  <c r="AG53" i="9"/>
  <c r="AA101" i="25"/>
  <c r="AB101" i="25"/>
  <c r="AA56" i="22"/>
  <c r="AB56" i="22"/>
  <c r="AG281" i="24"/>
  <c r="R281" i="24" s="1"/>
  <c r="AA96" i="25"/>
  <c r="AB96" i="25"/>
  <c r="AA66" i="21"/>
  <c r="AB66" i="21"/>
  <c r="AA108" i="24"/>
  <c r="AB108" i="24"/>
  <c r="AA113" i="24"/>
  <c r="AB113" i="24"/>
  <c r="AF110" i="9"/>
  <c r="AG110" i="9"/>
  <c r="AF101" i="21"/>
  <c r="AG101" i="21"/>
  <c r="AF11" i="22"/>
  <c r="AG11" i="22"/>
  <c r="AF71" i="25"/>
  <c r="AG71" i="25"/>
  <c r="AF101" i="25"/>
  <c r="AG101" i="25"/>
  <c r="AG57" i="23"/>
  <c r="AF57" i="23"/>
  <c r="AA117" i="23"/>
  <c r="AB117" i="23"/>
  <c r="AA21" i="9"/>
  <c r="AB21" i="9"/>
  <c r="AG71" i="21"/>
  <c r="AF71" i="21"/>
  <c r="AA11" i="25"/>
  <c r="AB11" i="25"/>
  <c r="AA68" i="24"/>
  <c r="AB68" i="24"/>
  <c r="AF241" i="25"/>
  <c r="AG241" i="25"/>
  <c r="R241" i="25" s="1"/>
  <c r="AA106" i="25"/>
  <c r="AB106" i="25"/>
  <c r="AF107" i="23"/>
  <c r="AG107" i="23"/>
  <c r="AA72" i="23"/>
  <c r="AB72" i="23"/>
  <c r="AB11" i="9"/>
  <c r="AA11" i="9"/>
  <c r="AA21" i="22"/>
  <c r="AB21" i="22"/>
  <c r="AA116" i="22"/>
  <c r="AB116" i="22"/>
  <c r="AF105" i="9"/>
  <c r="AG105" i="9"/>
  <c r="AF112" i="23"/>
  <c r="AG112" i="23"/>
  <c r="AF117" i="23"/>
  <c r="AG117" i="23"/>
  <c r="Z227" i="9"/>
  <c r="R226" i="9"/>
  <c r="R225" i="9" s="1"/>
  <c r="AF73" i="24"/>
  <c r="AG73" i="24"/>
  <c r="AF106" i="22"/>
  <c r="AG106" i="22"/>
  <c r="AG21" i="22"/>
  <c r="AF21" i="22"/>
  <c r="AF103" i="24"/>
  <c r="AG103" i="24"/>
  <c r="AA101" i="21"/>
  <c r="AB101" i="21"/>
  <c r="AA118" i="24"/>
  <c r="AB118" i="24"/>
  <c r="Z180" i="22"/>
  <c r="AA21" i="21"/>
  <c r="AB21" i="21"/>
  <c r="AB262" i="9"/>
  <c r="AA262" i="9"/>
  <c r="AA77" i="23"/>
  <c r="AB77" i="23"/>
  <c r="AA71" i="21"/>
  <c r="AB71" i="21"/>
  <c r="AF95" i="9"/>
  <c r="AG95" i="9"/>
  <c r="AF106" i="21"/>
  <c r="AG106" i="21"/>
  <c r="AG273" i="23"/>
  <c r="R273" i="23" s="1"/>
  <c r="AF273" i="23"/>
  <c r="Z211" i="9"/>
  <c r="AF118" i="24"/>
  <c r="AG118" i="24"/>
  <c r="AF111" i="22"/>
  <c r="AG111" i="22"/>
  <c r="AF11" i="25"/>
  <c r="AG11" i="25"/>
  <c r="AF16" i="21"/>
  <c r="AG16" i="21"/>
  <c r="AA112" i="23"/>
  <c r="AB112" i="23"/>
  <c r="AF17" i="23"/>
  <c r="AG17" i="23"/>
  <c r="AA123" i="24"/>
  <c r="AB123" i="24"/>
  <c r="AG274" i="21"/>
  <c r="R274" i="21" s="1"/>
  <c r="AA66" i="25"/>
  <c r="AB66" i="25"/>
  <c r="AA78" i="24"/>
  <c r="AB78" i="24"/>
  <c r="AA71" i="25"/>
  <c r="AB71" i="25"/>
  <c r="AA71" i="22"/>
  <c r="AB71" i="22"/>
  <c r="AF66" i="25"/>
  <c r="AG66" i="25"/>
  <c r="AF63" i="24"/>
  <c r="AG63" i="24"/>
  <c r="AF62" i="23"/>
  <c r="AG62" i="23"/>
  <c r="AF108" i="24"/>
  <c r="AG108" i="24"/>
  <c r="AA107" i="23"/>
  <c r="AB107" i="23"/>
  <c r="Y426" i="24"/>
  <c r="Y493" i="9"/>
  <c r="Y423" i="25" l="1"/>
  <c r="R115" i="9"/>
  <c r="R68" i="9"/>
  <c r="Y433" i="23"/>
  <c r="R11" i="22"/>
  <c r="R13" i="22" s="1"/>
  <c r="R61" i="21"/>
  <c r="R53" i="9"/>
  <c r="R272" i="9"/>
  <c r="R274" i="9" s="1"/>
  <c r="Y510" i="9"/>
  <c r="R17" i="23"/>
  <c r="R19" i="23" s="1"/>
  <c r="Y520" i="9"/>
  <c r="Y518" i="9" s="1"/>
  <c r="R76" i="21"/>
  <c r="Y420" i="24"/>
  <c r="R21" i="9"/>
  <c r="R23" i="9" s="1"/>
  <c r="R110" i="9"/>
  <c r="R16" i="9"/>
  <c r="R18" i="9" s="1"/>
  <c r="R112" i="23"/>
  <c r="Y431" i="21"/>
  <c r="R71" i="22"/>
  <c r="R113" i="24"/>
  <c r="R101" i="21"/>
  <c r="R56" i="22"/>
  <c r="Y434" i="24"/>
  <c r="Y432" i="24" s="1"/>
  <c r="R111" i="21"/>
  <c r="Y425" i="21"/>
  <c r="R102" i="23"/>
  <c r="Y414" i="23"/>
  <c r="Y417" i="25"/>
  <c r="Y421" i="25"/>
  <c r="R106" i="25"/>
  <c r="R116" i="25"/>
  <c r="Y508" i="9"/>
  <c r="R11" i="21"/>
  <c r="R13" i="21" s="1"/>
  <c r="R267" i="9"/>
  <c r="R269" i="9" s="1"/>
  <c r="R68" i="24"/>
  <c r="R16" i="24"/>
  <c r="R18" i="24" s="1"/>
  <c r="R101" i="25"/>
  <c r="R101" i="22"/>
  <c r="R116" i="21"/>
  <c r="Y423" i="22"/>
  <c r="Y444" i="21"/>
  <c r="Y442" i="21" s="1"/>
  <c r="R66" i="25"/>
  <c r="R11" i="25"/>
  <c r="R13" i="25" s="1"/>
  <c r="Y425" i="23"/>
  <c r="R63" i="9"/>
  <c r="R73" i="24"/>
  <c r="R108" i="24"/>
  <c r="R107" i="23"/>
  <c r="R116" i="22"/>
  <c r="Y445" i="23"/>
  <c r="Y443" i="23" s="1"/>
  <c r="Y442" i="22"/>
  <c r="Y440" i="22" s="1"/>
  <c r="R118" i="24"/>
  <c r="Y426" i="23"/>
  <c r="R57" i="23"/>
  <c r="Y419" i="24"/>
  <c r="Y424" i="22"/>
  <c r="R111" i="22"/>
  <c r="Y431" i="23"/>
  <c r="R100" i="9"/>
  <c r="Y418" i="23"/>
  <c r="Y415" i="23"/>
  <c r="Y410" i="24"/>
  <c r="R21" i="24"/>
  <c r="R23" i="24" s="1"/>
  <c r="Y484" i="9"/>
  <c r="R16" i="22"/>
  <c r="R18" i="22" s="1"/>
  <c r="Y416" i="21"/>
  <c r="R21" i="21"/>
  <c r="R23" i="21" s="1"/>
  <c r="R66" i="21"/>
  <c r="R117" i="23"/>
  <c r="R96" i="25"/>
  <c r="Y420" i="25"/>
  <c r="R123" i="24"/>
  <c r="R12" i="23"/>
  <c r="R14" i="23" s="1"/>
  <c r="R63" i="24"/>
  <c r="Y417" i="21"/>
  <c r="Y414" i="21"/>
  <c r="Y485" i="9"/>
  <c r="R97" i="23"/>
  <c r="Y430" i="23"/>
  <c r="R105" i="9"/>
  <c r="Y406" i="25"/>
  <c r="Y409" i="25"/>
  <c r="R16" i="25"/>
  <c r="R18" i="25" s="1"/>
  <c r="R58" i="9"/>
  <c r="Y416" i="25"/>
  <c r="Y433" i="25"/>
  <c r="Y431" i="25" s="1"/>
  <c r="R106" i="21"/>
  <c r="R67" i="23"/>
  <c r="R103" i="24"/>
  <c r="R66" i="22"/>
  <c r="Y424" i="21"/>
  <c r="R78" i="24"/>
  <c r="R61" i="22"/>
  <c r="R96" i="21"/>
  <c r="Y428" i="21"/>
  <c r="Y423" i="24"/>
  <c r="Y424" i="24"/>
  <c r="Y405" i="25"/>
  <c r="R56" i="25"/>
  <c r="R72" i="23"/>
  <c r="R77" i="23"/>
  <c r="Y490" i="9"/>
  <c r="R61" i="25"/>
  <c r="Y413" i="21"/>
  <c r="Y429" i="21"/>
  <c r="Y474" i="9"/>
  <c r="Y477" i="9"/>
  <c r="Y473" i="9"/>
  <c r="Y476" i="9"/>
  <c r="R11" i="9"/>
  <c r="R13" i="9" s="1"/>
  <c r="Y428" i="22"/>
  <c r="R48" i="9"/>
  <c r="Y499" i="9"/>
  <c r="Y408" i="24"/>
  <c r="Y411" i="24"/>
  <c r="R62" i="23"/>
  <c r="R16" i="21"/>
  <c r="R18" i="21" s="1"/>
  <c r="Y416" i="22"/>
  <c r="Y413" i="22"/>
  <c r="R71" i="21"/>
  <c r="R111" i="25"/>
  <c r="Y407" i="24"/>
  <c r="R11" i="24"/>
  <c r="R13" i="24" s="1"/>
  <c r="R56" i="21"/>
  <c r="R96" i="22"/>
  <c r="Y427" i="22"/>
  <c r="Y417" i="23"/>
  <c r="R22" i="23"/>
  <c r="R24" i="23" s="1"/>
  <c r="Y507" i="9"/>
  <c r="R262" i="9"/>
  <c r="R264" i="9" s="1"/>
  <c r="Y489" i="9"/>
  <c r="R95" i="9"/>
  <c r="R71" i="25"/>
  <c r="R76" i="25"/>
  <c r="Y415" i="22"/>
  <c r="R21" i="22"/>
  <c r="R23" i="22" s="1"/>
  <c r="R106" i="22"/>
  <c r="Y408" i="25"/>
  <c r="R21" i="25"/>
  <c r="R23" i="25" s="1"/>
  <c r="Y412" i="22"/>
  <c r="U463" i="24"/>
  <c r="U532" i="9"/>
  <c r="L21" i="28" s="1"/>
  <c r="L28" i="28" s="1"/>
  <c r="Y409" i="24" l="1"/>
  <c r="Y506" i="9"/>
  <c r="Y527" i="9" s="1"/>
  <c r="Y422" i="22"/>
  <c r="Y424" i="23"/>
  <c r="Y419" i="25"/>
  <c r="Y418" i="24"/>
  <c r="Y423" i="21"/>
  <c r="Y411" i="22"/>
  <c r="Y404" i="25"/>
  <c r="Y429" i="23"/>
  <c r="Y416" i="23"/>
  <c r="Y426" i="22"/>
  <c r="Y427" i="21"/>
  <c r="U469" i="23"/>
  <c r="U441" i="25"/>
  <c r="U462" i="24"/>
  <c r="U467" i="24" s="1"/>
  <c r="V461" i="24" s="1"/>
  <c r="Y415" i="25"/>
  <c r="Y413" i="23"/>
  <c r="Y414" i="22"/>
  <c r="U531" i="9"/>
  <c r="U536" i="9" s="1"/>
  <c r="G2" i="9" s="1"/>
  <c r="U450" i="22"/>
  <c r="U455" i="22" s="1"/>
  <c r="Y415" i="21"/>
  <c r="U467" i="21"/>
  <c r="Y422" i="24"/>
  <c r="Y483" i="9"/>
  <c r="Y407" i="25"/>
  <c r="Y406" i="24"/>
  <c r="Y475" i="9"/>
  <c r="Y472" i="9"/>
  <c r="Y412" i="21"/>
  <c r="Y488" i="9"/>
  <c r="J22" i="28"/>
  <c r="J25" i="28"/>
  <c r="V455" i="22" l="1"/>
  <c r="G2" i="22"/>
  <c r="U474" i="23"/>
  <c r="V469" i="23" s="1"/>
  <c r="H23" i="28"/>
  <c r="H28" i="28" s="1"/>
  <c r="Y405" i="24"/>
  <c r="Y439" i="24" s="1"/>
  <c r="Z435" i="24" s="1"/>
  <c r="Y505" i="9"/>
  <c r="Y412" i="23"/>
  <c r="Y450" i="23" s="1"/>
  <c r="Y403" i="25"/>
  <c r="Y438" i="25" s="1"/>
  <c r="Z411" i="25" s="1"/>
  <c r="Y410" i="22"/>
  <c r="Y447" i="22" s="1"/>
  <c r="Z420" i="22" s="1"/>
  <c r="Y471" i="9"/>
  <c r="Y526" i="9" s="1"/>
  <c r="Y525" i="9" s="1"/>
  <c r="Z522" i="9" s="1"/>
  <c r="V453" i="22"/>
  <c r="Y411" i="21"/>
  <c r="Y449" i="21" s="1"/>
  <c r="Z422" i="21" s="1"/>
  <c r="V449" i="22"/>
  <c r="V450" i="22"/>
  <c r="V452" i="22"/>
  <c r="V451" i="22"/>
  <c r="V454" i="22"/>
  <c r="G2" i="24"/>
  <c r="J26" i="28"/>
  <c r="U446" i="25"/>
  <c r="G2" i="25" s="1"/>
  <c r="J24" i="28"/>
  <c r="K27" i="28"/>
  <c r="J21" i="28"/>
  <c r="U472" i="21"/>
  <c r="V466" i="21" s="1"/>
  <c r="F24" i="28"/>
  <c r="V470" i="23" l="1"/>
  <c r="V474" i="23"/>
  <c r="V472" i="23"/>
  <c r="V471" i="23"/>
  <c r="V468" i="23"/>
  <c r="G2" i="23"/>
  <c r="Z411" i="22"/>
  <c r="Z416" i="22"/>
  <c r="Z421" i="22"/>
  <c r="Z443" i="22"/>
  <c r="Z413" i="22"/>
  <c r="Z427" i="22"/>
  <c r="Z423" i="22"/>
  <c r="Z443" i="23"/>
  <c r="Z419" i="23"/>
  <c r="Z434" i="23"/>
  <c r="Z433" i="23"/>
  <c r="Z414" i="23"/>
  <c r="Z442" i="23"/>
  <c r="Z415" i="23"/>
  <c r="Z446" i="23"/>
  <c r="Z416" i="23"/>
  <c r="Z425" i="23"/>
  <c r="Z435" i="23"/>
  <c r="Z444" i="23"/>
  <c r="Z431" i="23"/>
  <c r="Z412" i="23"/>
  <c r="Z432" i="22"/>
  <c r="Z430" i="22"/>
  <c r="Z436" i="23"/>
  <c r="Z426" i="23"/>
  <c r="Z437" i="23"/>
  <c r="Z420" i="23"/>
  <c r="Z424" i="23"/>
  <c r="Z421" i="23"/>
  <c r="Z429" i="23"/>
  <c r="Z422" i="23"/>
  <c r="Z413" i="23"/>
  <c r="Z438" i="23"/>
  <c r="Z418" i="23"/>
  <c r="Z423" i="23"/>
  <c r="Z404" i="25"/>
  <c r="Z406" i="25"/>
  <c r="Z409" i="25"/>
  <c r="Z422" i="25"/>
  <c r="Z427" i="23"/>
  <c r="Z439" i="23"/>
  <c r="Z407" i="25"/>
  <c r="Z434" i="25"/>
  <c r="Z428" i="23"/>
  <c r="Z440" i="23"/>
  <c r="Z412" i="25"/>
  <c r="Z431" i="21"/>
  <c r="Z414" i="22"/>
  <c r="Z430" i="23"/>
  <c r="Z441" i="23"/>
  <c r="Z476" i="9"/>
  <c r="Z491" i="9"/>
  <c r="Z492" i="9"/>
  <c r="Z432" i="23"/>
  <c r="Z448" i="23"/>
  <c r="Z445" i="23"/>
  <c r="Z417" i="23"/>
  <c r="Z447" i="23"/>
  <c r="Z416" i="21"/>
  <c r="Z425" i="24"/>
  <c r="Z497" i="9"/>
  <c r="Z482" i="9"/>
  <c r="Z514" i="9"/>
  <c r="Z473" i="9"/>
  <c r="Z423" i="25"/>
  <c r="Z471" i="9"/>
  <c r="Z523" i="9"/>
  <c r="Z435" i="25"/>
  <c r="Z426" i="22"/>
  <c r="Z422" i="24"/>
  <c r="Z483" i="9"/>
  <c r="Z428" i="22"/>
  <c r="Z430" i="21"/>
  <c r="Z446" i="21"/>
  <c r="Z418" i="24"/>
  <c r="Z424" i="24"/>
  <c r="Z412" i="24"/>
  <c r="Z436" i="24"/>
  <c r="Z413" i="24"/>
  <c r="Z518" i="9"/>
  <c r="Z445" i="21"/>
  <c r="Z520" i="9"/>
  <c r="Z498" i="9"/>
  <c r="Z406" i="24"/>
  <c r="Z427" i="25"/>
  <c r="Z485" i="9"/>
  <c r="Z413" i="25"/>
  <c r="Z493" i="9"/>
  <c r="Z417" i="24"/>
  <c r="Z437" i="24"/>
  <c r="Z425" i="25"/>
  <c r="Z506" i="9"/>
  <c r="Z500" i="9"/>
  <c r="Z439" i="22"/>
  <c r="Z405" i="25"/>
  <c r="Z437" i="22"/>
  <c r="Z501" i="9"/>
  <c r="Z425" i="22"/>
  <c r="Z426" i="25"/>
  <c r="Z441" i="22"/>
  <c r="Z495" i="9"/>
  <c r="Z421" i="24"/>
  <c r="Z440" i="22"/>
  <c r="Z438" i="22"/>
  <c r="Z429" i="22"/>
  <c r="Z509" i="9"/>
  <c r="Z414" i="24"/>
  <c r="Z478" i="9"/>
  <c r="Z408" i="24"/>
  <c r="Z426" i="24"/>
  <c r="Z499" i="9"/>
  <c r="Z411" i="24"/>
  <c r="Z418" i="25"/>
  <c r="Z510" i="9"/>
  <c r="Z405" i="24"/>
  <c r="Z434" i="22"/>
  <c r="Z432" i="24"/>
  <c r="Z508" i="9"/>
  <c r="Z414" i="25"/>
  <c r="Z415" i="25"/>
  <c r="Z472" i="9"/>
  <c r="Z486" i="9"/>
  <c r="Z431" i="25"/>
  <c r="Z403" i="25"/>
  <c r="Z502" i="9"/>
  <c r="Z415" i="22"/>
  <c r="Z420" i="25"/>
  <c r="Z474" i="9"/>
  <c r="Z521" i="9"/>
  <c r="Z422" i="22"/>
  <c r="Z432" i="25"/>
  <c r="Z477" i="9"/>
  <c r="Z481" i="9"/>
  <c r="Z433" i="24"/>
  <c r="Z419" i="25"/>
  <c r="Z410" i="25"/>
  <c r="Z489" i="9"/>
  <c r="Z496" i="9"/>
  <c r="Z503" i="9"/>
  <c r="Z442" i="22"/>
  <c r="Z418" i="22"/>
  <c r="Z445" i="22"/>
  <c r="Z517" i="9"/>
  <c r="Z416" i="25"/>
  <c r="Z505" i="9"/>
  <c r="Z424" i="25"/>
  <c r="Z488" i="9"/>
  <c r="Z484" i="9"/>
  <c r="Z417" i="22"/>
  <c r="Z416" i="24"/>
  <c r="Z415" i="24"/>
  <c r="Z430" i="25"/>
  <c r="Z479" i="9"/>
  <c r="Z419" i="22"/>
  <c r="Z430" i="24"/>
  <c r="Z427" i="24"/>
  <c r="Z436" i="25"/>
  <c r="Z494" i="9"/>
  <c r="Z519" i="9"/>
  <c r="Z412" i="22"/>
  <c r="Z428" i="24"/>
  <c r="Z419" i="24"/>
  <c r="Z429" i="25"/>
  <c r="Z490" i="9"/>
  <c r="Z511" i="9"/>
  <c r="Z444" i="22"/>
  <c r="Z429" i="24"/>
  <c r="Z408" i="25"/>
  <c r="Z480" i="9"/>
  <c r="Z431" i="22"/>
  <c r="Z407" i="24"/>
  <c r="Z428" i="25"/>
  <c r="Z475" i="9"/>
  <c r="Z433" i="22"/>
  <c r="Z431" i="24"/>
  <c r="Z433" i="25"/>
  <c r="Z512" i="9"/>
  <c r="Z435" i="22"/>
  <c r="Z436" i="22"/>
  <c r="Z417" i="25"/>
  <c r="Z487" i="9"/>
  <c r="Z410" i="24"/>
  <c r="Z421" i="25"/>
  <c r="Z507" i="9"/>
  <c r="Z513" i="9"/>
  <c r="Z424" i="22"/>
  <c r="Z410" i="22"/>
  <c r="Z409" i="24"/>
  <c r="Z428" i="21"/>
  <c r="Z425" i="21"/>
  <c r="Z444" i="21"/>
  <c r="Z427" i="21"/>
  <c r="Z429" i="21"/>
  <c r="Z417" i="21"/>
  <c r="Z420" i="21"/>
  <c r="Z436" i="21"/>
  <c r="Z438" i="21"/>
  <c r="Z434" i="24"/>
  <c r="Z423" i="24"/>
  <c r="Z424" i="21"/>
  <c r="Z439" i="21"/>
  <c r="Z420" i="24"/>
  <c r="Z441" i="21"/>
  <c r="Z426" i="21"/>
  <c r="Z476" i="21"/>
  <c r="Z442" i="21"/>
  <c r="Z432" i="21"/>
  <c r="Z418" i="21"/>
  <c r="Z423" i="21"/>
  <c r="Z435" i="21"/>
  <c r="Z411" i="21"/>
  <c r="Z440" i="21"/>
  <c r="Z447" i="21"/>
  <c r="Z412" i="21"/>
  <c r="Z437" i="21"/>
  <c r="Z415" i="21"/>
  <c r="Z443" i="21"/>
  <c r="Z414" i="21"/>
  <c r="Z413" i="21"/>
  <c r="Z433" i="21"/>
  <c r="Z434" i="21"/>
  <c r="Z419" i="21"/>
  <c r="Z421" i="21"/>
  <c r="F26" i="28"/>
  <c r="M26" i="28" s="1"/>
  <c r="F25" i="28"/>
  <c r="I25" i="28" s="1"/>
  <c r="G23" i="28"/>
  <c r="F22" i="28"/>
  <c r="V533" i="9"/>
  <c r="F21" i="28"/>
  <c r="G21" i="28" s="1"/>
  <c r="G24" i="28"/>
  <c r="P28" i="28"/>
  <c r="J28" i="28"/>
  <c r="V535" i="9"/>
  <c r="V530" i="9"/>
  <c r="V531" i="9"/>
  <c r="V532" i="9"/>
  <c r="V536" i="9"/>
  <c r="V534" i="9"/>
  <c r="V473" i="23"/>
  <c r="V467" i="24"/>
  <c r="V466" i="24"/>
  <c r="V465" i="24"/>
  <c r="V464" i="24"/>
  <c r="V463" i="24"/>
  <c r="V462" i="24"/>
  <c r="V472" i="21"/>
  <c r="V471" i="21"/>
  <c r="V470" i="21"/>
  <c r="V469" i="21"/>
  <c r="V468" i="21"/>
  <c r="V467" i="21"/>
  <c r="V440" i="25"/>
  <c r="V446" i="25"/>
  <c r="V445" i="25"/>
  <c r="V444" i="25"/>
  <c r="V443" i="25"/>
  <c r="V442" i="25"/>
  <c r="V441" i="25"/>
  <c r="Z450" i="23" l="1"/>
  <c r="Z447" i="22"/>
  <c r="Z527" i="9"/>
  <c r="Z439" i="24"/>
  <c r="Z438" i="25"/>
  <c r="Z526" i="9"/>
  <c r="Z449" i="21"/>
  <c r="K25" i="28"/>
  <c r="Q26" i="28"/>
  <c r="K26" i="28"/>
  <c r="G26" i="28"/>
  <c r="I26" i="28"/>
  <c r="O26" i="28"/>
  <c r="G25" i="28"/>
  <c r="O25" i="28"/>
  <c r="S25" i="28"/>
  <c r="M25" i="28"/>
  <c r="Q25" i="28"/>
  <c r="G22" i="28"/>
  <c r="I22" i="28"/>
  <c r="O22" i="28"/>
  <c r="M22" i="28"/>
  <c r="S22" i="28"/>
  <c r="Q22" i="28"/>
  <c r="K22" i="28"/>
  <c r="S26" i="28"/>
  <c r="Q23" i="28"/>
  <c r="Q24" i="28"/>
  <c r="M24" i="28"/>
  <c r="S24" i="28"/>
  <c r="I24" i="28"/>
  <c r="O24" i="28"/>
  <c r="K24" i="28"/>
  <c r="O23" i="28"/>
  <c r="S23" i="28"/>
  <c r="M23" i="28"/>
  <c r="K23" i="28"/>
  <c r="I23" i="28"/>
  <c r="U28" i="28"/>
  <c r="K21" i="28"/>
  <c r="F28" i="28"/>
  <c r="I21" i="28"/>
  <c r="M21" i="28"/>
  <c r="O21" i="28"/>
  <c r="Q21" i="28"/>
  <c r="S21" i="28"/>
  <c r="Z525" i="9" l="1"/>
  <c r="G28"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Pöyry, Emilia</author>
  </authors>
  <commentList>
    <comment ref="B8" authorId="0" shapeId="0" xr:uid="{1EA177E3-C266-4621-B36F-76A299DEA452}">
      <text>
        <r>
          <rPr>
            <sz val="9"/>
            <color indexed="81"/>
            <rFont val="Tahoma"/>
            <family val="2"/>
          </rPr>
          <t>Osioon on mahdollista syöttää kolmen erilaisen työkoneen tai muun kaluston siirrot. Jos erilaisia työkoneita on enemmän, on suositeltavaa moninkertaistaa kuljetusmatkan pituutta.</t>
        </r>
      </text>
    </comment>
    <comment ref="B44" authorId="0" shapeId="0" xr:uid="{FB46EF38-B677-4E11-95D3-CE3DCF791A23}">
      <text>
        <r>
          <rPr>
            <sz val="9"/>
            <color indexed="81"/>
            <rFont val="Tahoma"/>
            <family val="2"/>
          </rPr>
          <t>Osioon on mahdollista syöttää viiden erilaisen poistettavan maa-aineksen tai muun jätteen tiedot. Jos poistettavia jakeita on enemmän, voidaan kasvattaa massamäärää tai kuljetusmatkaa.</t>
        </r>
      </text>
    </comment>
    <comment ref="B92" authorId="0" shapeId="0" xr:uid="{ECEA41AB-53C1-422B-953F-644AC02B0EE0}">
      <text>
        <r>
          <rPr>
            <sz val="9"/>
            <color indexed="81"/>
            <rFont val="Tahoma"/>
            <family val="2"/>
          </rPr>
          <t>Määrät ja muuntokertoimet haetaan ensisijaisesti edellisestä kohdasta.</t>
        </r>
      </text>
    </comment>
    <comment ref="B249" authorId="0" shapeId="0" xr:uid="{ED6C4E1B-26ED-44B5-82D4-8904A0C38CE3}">
      <text>
        <r>
          <rPr>
            <sz val="9"/>
            <color indexed="81"/>
            <rFont val="Tahoma"/>
            <family val="2"/>
          </rPr>
          <t>Mahdollisen tarkkailun työasiamatkat välilehden lopussa.</t>
        </r>
      </text>
    </comment>
    <comment ref="B279" authorId="0" shapeId="0" xr:uid="{8D7F7D9F-B075-473F-8769-2082ABDD8E52}">
      <text>
        <r>
          <rPr>
            <sz val="9"/>
            <color indexed="81"/>
            <rFont val="Tahoma"/>
            <family val="2"/>
          </rPr>
          <t>Osioon voi syöttää viisi erilaista tuotetta. Malli valitsee yksikön itse tuotteen valinnan jälkeen. Jos syötät oman tuotteen ja sille kertoimen, syötä yksikkö käsin.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Pöyry, Emilia</author>
  </authors>
  <commentList>
    <comment ref="B8" authorId="0" shapeId="0" xr:uid="{4D8093A7-BE38-4903-9CCA-8FAE3E75AB37}">
      <text>
        <r>
          <rPr>
            <sz val="9"/>
            <color indexed="81"/>
            <rFont val="Tahoma"/>
            <family val="2"/>
          </rPr>
          <t>Osioon on mahdollista syöttää kolmen erilaisen työkoneen tai muun kaluston siirrot. Jos erilaisia työkoneita on enemmän, on suositeltavaa moninkertaistaa kuljetusmatkan pituutta.</t>
        </r>
      </text>
    </comment>
    <comment ref="B59" authorId="0" shapeId="0" xr:uid="{FCA7F396-E9CD-4738-A4B8-D0E0780BCCC1}">
      <text>
        <r>
          <rPr>
            <sz val="9"/>
            <color indexed="81"/>
            <rFont val="Tahoma"/>
            <family val="2"/>
          </rPr>
          <t>Osioon on mahdollista syöttää viiden erilaisen poistettavan maa-aineksen tai muun jätteen tiedot. Jos poistettavia jakeita on enemmän, voidaan kasvattaa massamäärää tai kuljetusmatkaa.</t>
        </r>
      </text>
    </comment>
    <comment ref="B100" authorId="0" shapeId="0" xr:uid="{19F34F05-9426-4014-BB34-1B59CF8CFAEC}">
      <text>
        <r>
          <rPr>
            <sz val="9"/>
            <color indexed="81"/>
            <rFont val="Tahoma"/>
            <family val="2"/>
          </rPr>
          <t>Määrät ja muuntokertoimet haetaan ensisijaisesti edellisestä kohdasta.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Pöyry, Emilia</author>
  </authors>
  <commentList>
    <comment ref="B9" authorId="0" shapeId="0" xr:uid="{1EEC84FD-24F4-4F6A-A99E-E72150B40367}">
      <text>
        <r>
          <rPr>
            <sz val="9"/>
            <color indexed="81"/>
            <rFont val="Tahoma"/>
            <family val="2"/>
          </rPr>
          <t>Osioon on mahdollista syöttää kolmen erilaisen työkoneen tai muun kaluston siirrot. Jos erilaisia työkoneita on enemmän, on suositeltavaa moninkertaistaa kuljetusmatkan pituutta.</t>
        </r>
      </text>
    </comment>
    <comment ref="B53" authorId="0" shapeId="0" xr:uid="{7DFAADDA-B73D-4915-9089-991246392AAD}">
      <text>
        <r>
          <rPr>
            <sz val="9"/>
            <color indexed="81"/>
            <rFont val="Tahoma"/>
            <family val="2"/>
          </rPr>
          <t>Osioon on mahdollista syöttää viiden erilaisen poistettavan maa-aineksen tai muun jätteen tiedot. Jos poistettavia jakeita on enemmän, voidaan kasvattaa massamäärää tai kuljetusmatkaa.</t>
        </r>
      </text>
    </comment>
    <comment ref="B94" authorId="0" shapeId="0" xr:uid="{17482544-1861-4EAA-88C5-090F53B96A02}">
      <text>
        <r>
          <rPr>
            <sz val="9"/>
            <color indexed="81"/>
            <rFont val="Tahoma"/>
            <family val="2"/>
          </rPr>
          <t>Määrät ja muuntokertoimet haetaan ensisijaisesti edellisestä kohdasta.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Pöyry, Emilia</author>
  </authors>
  <commentList>
    <comment ref="B8" authorId="0" shapeId="0" xr:uid="{9BF83FF9-4BC5-4F73-995F-0245CD5F58E3}">
      <text>
        <r>
          <rPr>
            <sz val="9"/>
            <color indexed="81"/>
            <rFont val="Tahoma"/>
            <family val="2"/>
          </rPr>
          <t>Osioon on mahdollista syöttää kolmen erilaisen työkoneen tai muun kaluston siirrot. Jos erilaisia työkoneita on enemmän, on suositeltavaa moninkertaistaa kuljetusmatkan pituutta.</t>
        </r>
      </text>
    </comment>
    <comment ref="B52" authorId="0" shapeId="0" xr:uid="{88537CA1-1C41-4945-9522-A0AF7805A46B}">
      <text>
        <r>
          <rPr>
            <sz val="9"/>
            <color indexed="81"/>
            <rFont val="Tahoma"/>
            <family val="2"/>
          </rPr>
          <t>Osioon on mahdollista syöttää viiden erilaisen poistettavan maa-aineksen tai muun jätteen tiedot. Jos poistettavia jakeita on enemmän, voidaan kasvattaa massamäärää tai kuljetusmatkaa.</t>
        </r>
      </text>
    </comment>
    <comment ref="B93" authorId="0" shapeId="0" xr:uid="{792B2D27-928F-4046-A506-AC03D9679254}">
      <text>
        <r>
          <rPr>
            <sz val="9"/>
            <color indexed="81"/>
            <rFont val="Tahoma"/>
            <family val="2"/>
          </rPr>
          <t>Määrät ja muuntokertoimet haetaan ensisijaisesti edellisestä kohdasta.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Pöyry, Emilia</author>
  </authors>
  <commentList>
    <comment ref="B8" authorId="0" shapeId="0" xr:uid="{D4151908-0FE2-4B14-99D3-A7505808A71F}">
      <text>
        <r>
          <rPr>
            <sz val="9"/>
            <color indexed="81"/>
            <rFont val="Tahoma"/>
            <family val="2"/>
          </rPr>
          <t>Osioon on mahdollista syöttää kolmen erilaisen työkoneen tai muun kaluston siirrot. Jos erilaisia työkoneita on enemmän, on suositeltavaa moninkertaistaa kuljetusmatkan pituutta.</t>
        </r>
      </text>
    </comment>
    <comment ref="B52" authorId="0" shapeId="0" xr:uid="{E5F32C0C-722C-4A6C-9ACF-1BA2C1B10635}">
      <text>
        <r>
          <rPr>
            <sz val="9"/>
            <color indexed="81"/>
            <rFont val="Tahoma"/>
            <family val="2"/>
          </rPr>
          <t>Osioon on mahdollista syöttää viiden erilaisen poistettavan maa-aineksen tai muun jätteen tiedot. Jos poistettavia jakeita on enemmän, voidaan kasvattaa massamäärää tai kuljetusmatkaa.</t>
        </r>
      </text>
    </comment>
    <comment ref="B93" authorId="0" shapeId="0" xr:uid="{8685CF0B-F0A9-4788-A9CF-8D22E4F7B2F3}">
      <text>
        <r>
          <rPr>
            <sz val="9"/>
            <color indexed="81"/>
            <rFont val="Tahoma"/>
            <family val="2"/>
          </rPr>
          <t>Määrät ja muuntokertoimet haetaan ensisijaisesti edellisestä kohdasta.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Pöyry, Emilia</author>
  </authors>
  <commentList>
    <comment ref="B8" authorId="0" shapeId="0" xr:uid="{D629642C-8D56-43BB-ABC0-71D8301A9B4B}">
      <text>
        <r>
          <rPr>
            <sz val="9"/>
            <color indexed="81"/>
            <rFont val="Tahoma"/>
            <family val="2"/>
          </rPr>
          <t>Osioon on mahdollista syöttää kolmen erilaisen työkoneen tai muun kaluston siirrot. Jos erilaisia työkoneita on enemmän, on suositeltavaa moninkertaistaa kuljetusmatkan pituutta.</t>
        </r>
      </text>
    </comment>
    <comment ref="B52" authorId="0" shapeId="0" xr:uid="{D168ACDE-B1E0-474C-B989-EA84CA51C6B4}">
      <text>
        <r>
          <rPr>
            <sz val="9"/>
            <color indexed="81"/>
            <rFont val="Tahoma"/>
            <family val="2"/>
          </rPr>
          <t>Osioon on mahdollista syöttää viiden erilaisen poistettavan maa-aineksen tai muun jätteen tiedot. Jos poistettavia jakeita on enemmän, voidaan kasvattaa massamäärää tai kuljetusmatkaa.</t>
        </r>
      </text>
    </comment>
    <comment ref="B93" authorId="0" shapeId="0" xr:uid="{7C332B05-F946-4391-93D4-73F22E4E57CD}">
      <text>
        <r>
          <rPr>
            <sz val="9"/>
            <color indexed="81"/>
            <rFont val="Tahoma"/>
            <family val="2"/>
          </rPr>
          <t>Määrät ja muuntokertoimet haetaan ensisijaisesti edellisestä kohdasta.</t>
        </r>
      </text>
    </comment>
  </commentList>
</comments>
</file>

<file path=xl/sharedStrings.xml><?xml version="1.0" encoding="utf-8"?>
<sst xmlns="http://schemas.openxmlformats.org/spreadsheetml/2006/main" count="11059" uniqueCount="812">
  <si>
    <t>Laji 1</t>
  </si>
  <si>
    <t>Laji 2</t>
  </si>
  <si>
    <t>Laji 3</t>
  </si>
  <si>
    <t>Laji 4</t>
  </si>
  <si>
    <t>Laji 5</t>
  </si>
  <si>
    <t>km</t>
  </si>
  <si>
    <t>Kyllä</t>
  </si>
  <si>
    <t>Ei</t>
  </si>
  <si>
    <t>%</t>
  </si>
  <si>
    <t>t/h</t>
  </si>
  <si>
    <t>Kuljetuskalusto</t>
  </si>
  <si>
    <t>Poistetun maan jatkokäsittely vastaanottopaikassa</t>
  </si>
  <si>
    <t>Aggregaatti</t>
  </si>
  <si>
    <t>Pohjaveden hävikki</t>
  </si>
  <si>
    <t>Kohde:</t>
  </si>
  <si>
    <t>Arvion laatija:</t>
  </si>
  <si>
    <t>Päivämäärä:</t>
  </si>
  <si>
    <t>Työmaakalusto</t>
  </si>
  <si>
    <t>Porauskalusto (kalliorakentaminen)</t>
  </si>
  <si>
    <t>Poravaunu</t>
  </si>
  <si>
    <t>Maaporavaunu</t>
  </si>
  <si>
    <t>Suodatinkangas</t>
  </si>
  <si>
    <t>Bentoniittimatto</t>
  </si>
  <si>
    <t>kk</t>
  </si>
  <si>
    <t>Massanvaihto ja aumakäsittely</t>
  </si>
  <si>
    <t>Aumakäsittelyn lisätiedot</t>
  </si>
  <si>
    <t>Muokattava solu</t>
  </si>
  <si>
    <t>2. Laskentavälilehdet</t>
  </si>
  <si>
    <t>1. Kohdetiedot ja yhteenveto</t>
  </si>
  <si>
    <t>Injektoinnit:</t>
  </si>
  <si>
    <t>Termiset menetelmät:</t>
  </si>
  <si>
    <t>Huokosilmakäsittely:</t>
  </si>
  <si>
    <t>Fytoremediaatio:</t>
  </si>
  <si>
    <t>Luontaisen hajoamisen seuranta:</t>
  </si>
  <si>
    <t>Yhteensä:</t>
  </si>
  <si>
    <r>
      <t>m</t>
    </r>
    <r>
      <rPr>
        <vertAlign val="superscript"/>
        <sz val="11"/>
        <color theme="1"/>
        <rFont val="Arial"/>
        <family val="2"/>
        <scheme val="minor"/>
      </rPr>
      <t>2</t>
    </r>
  </si>
  <si>
    <r>
      <t>m</t>
    </r>
    <r>
      <rPr>
        <vertAlign val="superscript"/>
        <sz val="11"/>
        <color theme="1"/>
        <rFont val="Arial"/>
        <family val="2"/>
        <scheme val="minor"/>
      </rPr>
      <t>3</t>
    </r>
    <r>
      <rPr>
        <sz val="11"/>
        <color theme="1"/>
        <rFont val="Arial"/>
        <family val="2"/>
        <scheme val="minor"/>
      </rPr>
      <t>ktr</t>
    </r>
  </si>
  <si>
    <r>
      <t>m</t>
    </r>
    <r>
      <rPr>
        <vertAlign val="superscript"/>
        <sz val="11"/>
        <color theme="1"/>
        <rFont val="Arial"/>
        <family val="2"/>
        <scheme val="minor"/>
      </rPr>
      <t>3</t>
    </r>
  </si>
  <si>
    <t>Yhteenveto</t>
  </si>
  <si>
    <t>Kaivantojen tuenta</t>
  </si>
  <si>
    <t>Kuljetukset</t>
  </si>
  <si>
    <t>Jätteiden loppusijoitus</t>
  </si>
  <si>
    <t>Työasiamatkat</t>
  </si>
  <si>
    <t>Arvioitu kesto</t>
  </si>
  <si>
    <t>vuotta</t>
  </si>
  <si>
    <t>Injektoinnit</t>
  </si>
  <si>
    <t>Alkuperä</t>
  </si>
  <si>
    <t>Suomi</t>
  </si>
  <si>
    <t>Eurooppa</t>
  </si>
  <si>
    <t>Muu maailma</t>
  </si>
  <si>
    <t>Määrä</t>
  </si>
  <si>
    <t>h</t>
  </si>
  <si>
    <t>t</t>
  </si>
  <si>
    <t>Luontaisen biohajoamisen seuranta</t>
  </si>
  <si>
    <t>Termiset menetelmät</t>
  </si>
  <si>
    <t>Rakenteiden purkaminen</t>
  </si>
  <si>
    <t>Poistokaasujen imu</t>
  </si>
  <si>
    <t>Huokosilmakäsittely</t>
  </si>
  <si>
    <t>Fytoremediaatio</t>
  </si>
  <si>
    <t>Kasvien istutukset</t>
  </si>
  <si>
    <t>Valmistelu</t>
  </si>
  <si>
    <t>Poistettava puusto</t>
  </si>
  <si>
    <t>Poistettava asfaltti</t>
  </si>
  <si>
    <t>Poistettavat rakenteet</t>
  </si>
  <si>
    <t xml:space="preserve">Jakelukuorma-auto, 6 t, 20 % kuorma, maantieajo  </t>
  </si>
  <si>
    <t>Jakelukuorma-auto, 6 t, 20 % kuorma, kaupunkiajo</t>
  </si>
  <si>
    <t>Jakelukuorma-auto, 6 t, 50 % kuorma, maantieajo</t>
  </si>
  <si>
    <t>Jakelukuorma-auto, 6 t, 50 % kuorma, kaupunkiajo</t>
  </si>
  <si>
    <t>Jakelukuorma-auto, 6 t, 80 % kuorma, maantieajo</t>
  </si>
  <si>
    <t>Jakelukuorma-auto, 6 t, 80 % kuorma, kaupunkiajo</t>
  </si>
  <si>
    <t>Jakelukuorma-auto, 6 t, 100 % kuorma, maantieajo</t>
  </si>
  <si>
    <t>Jakelukuorma-auto, 6 t, 100 % kuorma, kaupunkiajo</t>
  </si>
  <si>
    <t>Jakelukuorma-auto, 15 t, 20 % kuorma, maantieajo</t>
  </si>
  <si>
    <t>Jakelukuorma-auto, 15 t, 20 % kuorma, kaupunkiajo</t>
  </si>
  <si>
    <t>Jakelukuorma-auto, 15 t, 50 % kuorma, maantieajo</t>
  </si>
  <si>
    <t>Jakelukuorma-auto, 15 t, 50 % kuorma, kaupunkiajo</t>
  </si>
  <si>
    <t>Jakelukuorma-auto, 15 t, 80 % kuorma, maantieajo</t>
  </si>
  <si>
    <t>Jakelukuorma-auto, 15 t, 80 % kuorma, kaupunkiajo</t>
  </si>
  <si>
    <t>Jakelukuorma-auto, 15 t, 100 % kuorma, maantieajo</t>
  </si>
  <si>
    <t>Jakelukuorma-auto, 15 t, 100 % kuorma, kaupunkiajo</t>
  </si>
  <si>
    <t>Maansiirtoauto, 32 t, 20 % kuorma, maantieajo</t>
  </si>
  <si>
    <t>Maansiirtoauto, 32 t, 20 % kuorma, kaupunkiajo</t>
  </si>
  <si>
    <t>Maansiirtoauto, 32 t, 50 % kuorma, maantieajo</t>
  </si>
  <si>
    <t>Maansiirtoauto, 32 t, 50 % kuorma, kaupunkiajo</t>
  </si>
  <si>
    <t>Maansiirtoauto, 32 t, 80 % kuorma, maantieajo</t>
  </si>
  <si>
    <t>Maansiirtoauto, 32 t, 80 % kuorma, kaupunkiajo</t>
  </si>
  <si>
    <t>Maansiirtoauto, 32 t, 100 % kuorma, maantieajo</t>
  </si>
  <si>
    <t>Maansiirtoauto, 32 t, 100 % kuorma, kaupunkiajo</t>
  </si>
  <si>
    <t>kaupunkiajo</t>
  </si>
  <si>
    <t>Puoliperävaunuyhdistelmä, 40 t, 20 % kuorma, maantieajo</t>
  </si>
  <si>
    <t>Puoliperävaunuyhdistelmä, 40 t, 20 % kuorma, kaupunkiajo</t>
  </si>
  <si>
    <t>Puoliperävaunuyhdistelmä, 40 t, 50 % kuorma, maantieajo</t>
  </si>
  <si>
    <t>Puoliperävaunuyhdistelmä, 40 t, 50 % kuorma, kaupunkiajo</t>
  </si>
  <si>
    <t>Puoliperävaunuyhdistelmä, 40 t, 80 % kuorma, maantieajo</t>
  </si>
  <si>
    <t>Puoliperävaunuyhdistelmä, 40 t, 80 % kuorma, kaupunkiajo</t>
  </si>
  <si>
    <t>Puoliperävaunuyhdistelmä, 40 t, 100 % kuorma, maantieajo</t>
  </si>
  <si>
    <t>Puoliperävaunuyhdistelmä, 40 t, 100 % kuorma, kaupunkiajo</t>
  </si>
  <si>
    <t>Täysperävaunuyhdistelmät, 60 t, 20 % kuorma, maantieajo</t>
  </si>
  <si>
    <t>Täysperävaunuyhdistelmät, 60 t, 20 % kuorma, kaupunkiajo</t>
  </si>
  <si>
    <t>Täysperävaunuyhdistelmät, 60 t, 50 % kuorma, maantieajo</t>
  </si>
  <si>
    <t>Täysperävaunuyhdistelmät, 60 t, 50 % kuorma, kaupunkiajo</t>
  </si>
  <si>
    <t>Täysperävaunuyhdistelmät, 60 t, 80 % kuorma, maantieajo</t>
  </si>
  <si>
    <t>Täysperävaunuyhdistelmät, 60 t, 80 % kuorma, kaupunkiajo</t>
  </si>
  <si>
    <t>Täysperävaunuyhdistelmät, 60 t, 100 % kuorma, maantieajo</t>
  </si>
  <si>
    <t>Täysperävaunuyhdistelmät, 60 t, 100 % kuorma, kaupunkiajo</t>
  </si>
  <si>
    <t>CO2data.fi</t>
  </si>
  <si>
    <t>https://co2data.fi/infra/reports/INFRA%20kuljetukset%20R01.00.pdf</t>
  </si>
  <si>
    <t>Jakelukuorma-auto, 6 t, 0 % kuorma, maantieajo</t>
  </si>
  <si>
    <t>Yksiköt</t>
  </si>
  <si>
    <t>m3itd</t>
  </si>
  <si>
    <t>Valitse</t>
  </si>
  <si>
    <t>Jakelukuorma-auto, 6 t, 0 % kuorma, kaupunkiajo</t>
  </si>
  <si>
    <t>Jakelukuorma-auto, 15 t, 0 % kuorma, maantieajo</t>
  </si>
  <si>
    <t>Maansiirtoauto, 0 % kuorma, maantieajo</t>
  </si>
  <si>
    <t>Täysperävaunuyhdistelmät, 60 t, 0 % kuorma, maantieajo</t>
  </si>
  <si>
    <t>Täysperävaunuyhdistelmät, 60 t, 0 % kuorma, kaupunkiajo</t>
  </si>
  <si>
    <t>Jakelukuorma-auto</t>
  </si>
  <si>
    <t>Maansiirtoauto</t>
  </si>
  <si>
    <t>maantieajo</t>
  </si>
  <si>
    <t>Jakelukuorma-auto, 15 t, 0 % kuorma, kaupunkiajo</t>
  </si>
  <si>
    <t>Kaivinkone, tela-alustainen, KKH 08</t>
  </si>
  <si>
    <t>Kaivinkone, tela-alustainen, KKH 11</t>
  </si>
  <si>
    <t>Kaivinkone, tela-alustainen, KKH 14</t>
  </si>
  <si>
    <t>Kaivinkone, tela-alustainen, KKH 17</t>
  </si>
  <si>
    <t>Kaivinkone, tela-alustainen, KKH 21</t>
  </si>
  <si>
    <t>Kaivinkone, tela-alustainen, KKH 25</t>
  </si>
  <si>
    <t>Kaivinkone, tela-alustainen, KKH 30</t>
  </si>
  <si>
    <t>Kaivinkone, tela-alustainen, KKH 35</t>
  </si>
  <si>
    <t>Kaivinkone, tela-alustainen, KKH 45</t>
  </si>
  <si>
    <t>Kaivinkone, tela-alustainen, KKH 55</t>
  </si>
  <si>
    <t>kgCO2e/h</t>
  </si>
  <si>
    <t>Pienoispyöräkuormaaja, KUP 00 tai KUP 03 (bobcat)</t>
  </si>
  <si>
    <t>Pyöräkuormaaja, KUP 100-130</t>
  </si>
  <si>
    <t>Pyöräkuormaaja, KUP 150-210</t>
  </si>
  <si>
    <t>Pyöräkuormaaja, KUP 30-90</t>
  </si>
  <si>
    <t>Asfaltinjyrsin</t>
  </si>
  <si>
    <t>Traktorikaivuri</t>
  </si>
  <si>
    <t>Kompressori</t>
  </si>
  <si>
    <t>https://co2data.fi/infra/reports/INFRA%20ty%C3%B6koneet%20R01.04.pdf</t>
  </si>
  <si>
    <t>Tasoseula, alle 20 t</t>
  </si>
  <si>
    <t>Tasoseula, yli 30 t</t>
  </si>
  <si>
    <t>Tasoseula, 20-30 t</t>
  </si>
  <si>
    <t>Paalutuskone alle 40 t</t>
  </si>
  <si>
    <t>Paalutuskone yli 40 t</t>
  </si>
  <si>
    <t>Paalutuskone, sähkö</t>
  </si>
  <si>
    <t>Massastabilointikone</t>
  </si>
  <si>
    <t>Keskimääräinen kuljetusetäisyys</t>
  </si>
  <si>
    <t>h/m3</t>
  </si>
  <si>
    <t>h/t</t>
  </si>
  <si>
    <t>Maa-ainekset</t>
  </si>
  <si>
    <t>kgCO2e/kg</t>
  </si>
  <si>
    <t>Käytetään tietojen puuttumisen vuoksi murskeen kerrointa. Käytännössä todennäköisesti louheen kerroin on hieman pienempi (ks. CO2data.fi:n dokumentin ympäristöselosteet).</t>
  </si>
  <si>
    <t>https://co2data.fi/infra/reports/INFRA%20luonnonkivituotteet%20R01.04.pdf</t>
  </si>
  <si>
    <t>Hukkakerroin</t>
  </si>
  <si>
    <t>Turve</t>
  </si>
  <si>
    <t>Pelto- tai metsämulta</t>
  </si>
  <si>
    <t>Kompostimulta</t>
  </si>
  <si>
    <t>https://co2data.fi/infra/reports/INFRA%20viherrakentaminen%20R01.03.pdf</t>
  </si>
  <si>
    <t>Komposti, biojätekomposti</t>
  </si>
  <si>
    <t>Keskiarvo CO2data.fi:n kasvualustoista</t>
  </si>
  <si>
    <t>kgCO2e</t>
  </si>
  <si>
    <t>Oletusarvo</t>
  </si>
  <si>
    <t>m2</t>
  </si>
  <si>
    <t>m3ktr</t>
  </si>
  <si>
    <t xml:space="preserve"> </t>
  </si>
  <si>
    <t>t/m3</t>
  </si>
  <si>
    <t>Puoliperävaunu</t>
  </si>
  <si>
    <t>Täysperävaunu</t>
  </si>
  <si>
    <t>Kiviainekset</t>
  </si>
  <si>
    <t>Arvio CO2data.fi-tietojen pohjalta</t>
  </si>
  <si>
    <t>Jäte</t>
  </si>
  <si>
    <t>Päästökerroin</t>
  </si>
  <si>
    <t>Puuston raivaus</t>
  </si>
  <si>
    <t>Puun hiilisisältö (kgCO2e/m3)</t>
  </si>
  <si>
    <t>Runkopuun tilavuus metsämaalla koko maassa (m3/ha)</t>
  </si>
  <si>
    <t>Kaataminen ja keruu metsurityönä (h/100m2)</t>
  </si>
  <si>
    <t>Moottorisahan polttoaineen kulutus (l/h)</t>
  </si>
  <si>
    <t>Kantojen poisto kaivin-koneella (h/100 m2)</t>
  </si>
  <si>
    <t>Kaivinkone KKH 21 (kgCO2e/h)</t>
  </si>
  <si>
    <t>kgCO2e/m2</t>
  </si>
  <si>
    <t>Arvio maankaivuun ja kuormauksen tiedoilla KKH21(h/m3ktr)</t>
  </si>
  <si>
    <t>Asfaltin keskimääräinen paksuus (cm)</t>
  </si>
  <si>
    <t>kgCO2e/m3ktr</t>
  </si>
  <si>
    <t>Muuntokerroin</t>
  </si>
  <si>
    <t>kgCO2/tkm</t>
  </si>
  <si>
    <t>Oma kerroin</t>
  </si>
  <si>
    <t>Kuljetusten päästökerroin</t>
  </si>
  <si>
    <t></t>
  </si>
  <si>
    <t>kgCO2/km</t>
  </si>
  <si>
    <t>kgCO2/h</t>
  </si>
  <si>
    <t>Apu1 (siirtoajoneuvo)</t>
  </si>
  <si>
    <t>Apu3 (siirtoajotyyppi)</t>
  </si>
  <si>
    <t>Tehokkuus/konetunnit</t>
  </si>
  <si>
    <t>m3/h</t>
  </si>
  <si>
    <t>m3</t>
  </si>
  <si>
    <t>W</t>
  </si>
  <si>
    <t>Kaivannon uppopumppu</t>
  </si>
  <si>
    <t>Tehoarvio</t>
  </si>
  <si>
    <t>m3rtd</t>
  </si>
  <si>
    <t>Huom. tuentamateriaaleja ei huomioida tässä laskuriversiossa</t>
  </si>
  <si>
    <t>gCO2/kWh</t>
  </si>
  <si>
    <t>Energia</t>
  </si>
  <si>
    <t>Sähkö</t>
  </si>
  <si>
    <t>Sähkö - Tuotanto</t>
  </si>
  <si>
    <t>Sähkö - Kulutus</t>
  </si>
  <si>
    <t>Sähkö - Muu elinkaari</t>
  </si>
  <si>
    <t>Sähkö - Jäännösjakauma</t>
  </si>
  <si>
    <t>kgCO2/m3</t>
  </si>
  <si>
    <t>Loppusijoituksen työkoneet</t>
  </si>
  <si>
    <t>kgCO2e/m3itd</t>
  </si>
  <si>
    <t>Korvaava maa-aines</t>
  </si>
  <si>
    <t>Hyödyt</t>
  </si>
  <si>
    <t>Lähde: CO2data.fi</t>
  </si>
  <si>
    <t>Kiviaines (kgCO2e/kg)</t>
  </si>
  <si>
    <t>Muunnos (t/m3)</t>
  </si>
  <si>
    <t>käyntiä/vuosi</t>
  </si>
  <si>
    <t>käyntiä/viikko</t>
  </si>
  <si>
    <t>gCO2e/km</t>
  </si>
  <si>
    <t>kgCO2e/tkm</t>
  </si>
  <si>
    <t>l/100 km</t>
  </si>
  <si>
    <t>Autokalkulaattori</t>
  </si>
  <si>
    <t>https://autokalkulaattori.fi/</t>
  </si>
  <si>
    <t>Bensiini</t>
  </si>
  <si>
    <t>Diesel</t>
  </si>
  <si>
    <t>Ajoneuvon keskikulutus</t>
  </si>
  <si>
    <t>kWh/100 km</t>
  </si>
  <si>
    <t>kg/100 km</t>
  </si>
  <si>
    <t>Sähkö - Ajoneuvot</t>
  </si>
  <si>
    <t>Kaasu</t>
  </si>
  <si>
    <t>Hybridi</t>
  </si>
  <si>
    <t>Ladattava hybridi</t>
  </si>
  <si>
    <t>Diesel - Suorat päästöt</t>
  </si>
  <si>
    <t>Biokaasu - Suorat päästöt</t>
  </si>
  <si>
    <t>Diesel - Valmistuksen ja hankinnan päästöt</t>
  </si>
  <si>
    <t>Bensiini  - Valmistuksen ja hankinnan päästöt</t>
  </si>
  <si>
    <t>Biokaasu  - Valmistuksen ja hankinnan päästöt</t>
  </si>
  <si>
    <t>Bensiini - Suorat päästöt</t>
  </si>
  <si>
    <t>kgCO2e/l</t>
  </si>
  <si>
    <t>Matkat (km)</t>
  </si>
  <si>
    <t>Bensiinin päästöt</t>
  </si>
  <si>
    <t>Dieselin päästöt</t>
  </si>
  <si>
    <t>Hybridien päästöt</t>
  </si>
  <si>
    <t>Ladat. hyb. päästöt</t>
  </si>
  <si>
    <t>Kaasun päästöt</t>
  </si>
  <si>
    <t>Sähkön päästöt</t>
  </si>
  <si>
    <t>Kokonaistuntiarvio</t>
  </si>
  <si>
    <t>Tuntimäärä</t>
  </si>
  <si>
    <t>kgCO2/t</t>
  </si>
  <si>
    <t>kgCO2e/t</t>
  </si>
  <si>
    <t>Apu 2 (jk-autotarkennus)</t>
  </si>
  <si>
    <t>Huom. pohjaveden hävikkiä ei huomioida tässä laskuriversiossa</t>
  </si>
  <si>
    <t>l</t>
  </si>
  <si>
    <t>kg</t>
  </si>
  <si>
    <t>Tiekuljetus</t>
  </si>
  <si>
    <t>Laivarahti</t>
  </si>
  <si>
    <t>Lentorahti</t>
  </si>
  <si>
    <t>Kuljetettava määrä</t>
  </si>
  <si>
    <t>gCO2e/tkm</t>
  </si>
  <si>
    <t>Merikuljetus, konttilaiva, 1000 TEU</t>
  </si>
  <si>
    <t>Raidekuljetus</t>
  </si>
  <si>
    <t xml:space="preserve">Junakuljetus, konttijuna, diesel, 686t </t>
  </si>
  <si>
    <t>Tuentamateriaalien määrä</t>
  </si>
  <si>
    <t>Asennus- ja valmisteluvaiheessa tarvittavat työkoneet</t>
  </si>
  <si>
    <t>Energiamäärä</t>
  </si>
  <si>
    <t>kWh</t>
  </si>
  <si>
    <t>Energialähde</t>
  </si>
  <si>
    <t>kgCO2/m2</t>
  </si>
  <si>
    <t>Käyttöaika</t>
  </si>
  <si>
    <t>tunti</t>
  </si>
  <si>
    <t>päivä</t>
  </si>
  <si>
    <t>kuukausi</t>
  </si>
  <si>
    <t>vuosi</t>
  </si>
  <si>
    <t>Polttoöljy - Suorat päästöt</t>
  </si>
  <si>
    <t>Polttoöljy - Valmistuksen ja hankinnan päästöt</t>
  </si>
  <si>
    <t>Nestekaasu - Suorat päästöt</t>
  </si>
  <si>
    <t>Nestekaasu - Valmistuksen ja hankinnan päästöt</t>
  </si>
  <si>
    <t>JEC well-to-tank report V5</t>
  </si>
  <si>
    <t>Hyötysuhteet</t>
  </si>
  <si>
    <t>Polttomoottoripumppu</t>
  </si>
  <si>
    <t>Aurinkopaneelit</t>
  </si>
  <si>
    <t>Aurinkopaneeli - Suorat päästö</t>
  </si>
  <si>
    <t>Aurinkopaneeli - Valmistuksen ja hankinnan päästöt</t>
  </si>
  <si>
    <t>Ostosähkö</t>
  </si>
  <si>
    <t>Kokonaiskäyttöaika (puhdistamisen kesto)</t>
  </si>
  <si>
    <t>kpl</t>
  </si>
  <si>
    <t>m</t>
  </si>
  <si>
    <t>Käsittelyssä käytettävien kemikaalien, tuotteiden ja materiaalien kuljetukset alueelle</t>
  </si>
  <si>
    <t>Yksikkö</t>
  </si>
  <si>
    <t>Poistokaasujen käsittelyn mahdollinen energiankäyttö</t>
  </si>
  <si>
    <t>Prosessia tehostavan mahdollinen kuuman ilman, höyryn tai veden tuottaminen</t>
  </si>
  <si>
    <t>Puhdistuksen päättäminen</t>
  </si>
  <si>
    <t>Maaperän lämmittäminen</t>
  </si>
  <si>
    <t>Injektointiaineen syöttö</t>
  </si>
  <si>
    <t>Mahdollinen poistokaasujen imu</t>
  </si>
  <si>
    <t>Kunnossapito ja mahdollinen haitta-aineita sisältävien kasvien kerääminen ja jatkokäsittely</t>
  </si>
  <si>
    <t>Työasiamatkat puhdistamisen aikana (urakointi, työmaavalvonta, kokoukset ym.)</t>
  </si>
  <si>
    <t>Puhdistamisen aikana tehdyn edestakaisen työasiamatkan keskipituus</t>
  </si>
  <si>
    <t>Oletuskerroin</t>
  </si>
  <si>
    <t>Valitse kuljetuskalusto</t>
  </si>
  <si>
    <t>Muu kuljetuskalusto (oma kerroin)</t>
  </si>
  <si>
    <t>Valitse työkone</t>
  </si>
  <si>
    <t>Muu työkone (oma kerroin)</t>
  </si>
  <si>
    <t>Maa-aineksen tai materiaalin maa-aineslaji 5</t>
  </si>
  <si>
    <t>Kemikaali-, tuote- tai materiaalilaji 1</t>
  </si>
  <si>
    <t>Kemikaali-, tuote- tai materiaalilaji 2</t>
  </si>
  <si>
    <t>Kemikaali-, tuote- tai materiaalilaji 3</t>
  </si>
  <si>
    <t>Kemikaali-, tuote- tai materiaalilaji 4</t>
  </si>
  <si>
    <t>Kemikaali-, tuote- tai materiaalilaji 5</t>
  </si>
  <si>
    <t>Reittiosuuden pituus</t>
  </si>
  <si>
    <t>Valitse käyttövoima</t>
  </si>
  <si>
    <t>Arvio puhdistettavan alueen laajuudesta:</t>
  </si>
  <si>
    <t>Arvio puhdistettavan maan määrästä:</t>
  </si>
  <si>
    <t>Arvio puhdistettavan pohjaveden määrästä:</t>
  </si>
  <si>
    <t>Arvio puhdistuksen kestosta</t>
  </si>
  <si>
    <t>Tulokset</t>
  </si>
  <si>
    <t>Tuotevaihe</t>
  </si>
  <si>
    <t>Valmisteluvaihe</t>
  </si>
  <si>
    <t>kgCO2e (biogeeninen hiili)</t>
  </si>
  <si>
    <t>Lasketut päästöt</t>
  </si>
  <si>
    <t>Tehokkuus tai konetunnit</t>
  </si>
  <si>
    <t>Käsittelyaika</t>
  </si>
  <si>
    <t>Mahdollisten korvaavien maa-ainesten määrä</t>
  </si>
  <si>
    <t>Maa-aineksen valmistuksen päästökerroin</t>
  </si>
  <si>
    <t>Bruttomäärä tonneina</t>
  </si>
  <si>
    <t>Mahdollisten korvaavien maa-ainesten kuljetukset alueelle</t>
  </si>
  <si>
    <t>Sementti</t>
  </si>
  <si>
    <t>Savi</t>
  </si>
  <si>
    <t>Lentotuhka</t>
  </si>
  <si>
    <t>Kuituliete</t>
  </si>
  <si>
    <t>Siistausjäte</t>
  </si>
  <si>
    <t>Huomioverkko</t>
  </si>
  <si>
    <t>Tuotteen tai materiaalin määrä</t>
  </si>
  <si>
    <t>Tuotteen tai materiaalin valmistuksen päästökerroin</t>
  </si>
  <si>
    <t>https://co2data.fi/infra/reports/INFRA%20kuivatuotteet%20R01.03.pdf</t>
  </si>
  <si>
    <t>Stabilointiaine, sementti</t>
  </si>
  <si>
    <t>Keskiarvo N1 - N5</t>
  </si>
  <si>
    <t>https://co2data.fi/infra/reports/INFRA%20muovituotteet%20R01.04.pdf</t>
  </si>
  <si>
    <t>Ohutmuovikalvo</t>
  </si>
  <si>
    <t>Kiviaineisten oletusarvoarvio</t>
  </si>
  <si>
    <t>Kerroin</t>
  </si>
  <si>
    <t>Kuljetettava määrä kiloina</t>
  </si>
  <si>
    <t>Lentorahti, kansainvälinen keskiarvo</t>
  </si>
  <si>
    <t>Valitse tiekuljetuksen kuljetuskalusto alasvetovalikosta</t>
  </si>
  <si>
    <t>Nettomäärä tonneina</t>
  </si>
  <si>
    <t>Geomembraani</t>
  </si>
  <si>
    <t>Kuljetusten päästöt</t>
  </si>
  <si>
    <t>Siirtoajojen määrä</t>
  </si>
  <si>
    <t>Jatkokäsittelyn päästökerroin</t>
  </si>
  <si>
    <t>Hiilijalanjäljen ulkopuolinen ilmastohyöty</t>
  </si>
  <si>
    <t>Kaluston massa</t>
  </si>
  <si>
    <t>Päätösvaihe</t>
  </si>
  <si>
    <t>Hiilijalanjäljen ulkopuoliset ilmastohyödyt</t>
  </si>
  <si>
    <t>Käsittelyssä käytettävien tuotteiden ja materiaalien kuljetukset alueelle</t>
  </si>
  <si>
    <t>Korvaavien maa-ainesten kuljetukset alueelle</t>
  </si>
  <si>
    <t>Työkoneen kuvaus 1</t>
  </si>
  <si>
    <t>Työkoneen kuvaus 2</t>
  </si>
  <si>
    <t>Työkoneen kuvaus 3</t>
  </si>
  <si>
    <t>Työvaiheeseen käytettävä kokonaistuntimäärä</t>
  </si>
  <si>
    <t>Käsittelyn vuoksi alueelta poistettavat rakenteet kiintokuutioina</t>
  </si>
  <si>
    <t>Muoviputket</t>
  </si>
  <si>
    <t>Happi</t>
  </si>
  <si>
    <t>Nollarauta</t>
  </si>
  <si>
    <t>Biohiili</t>
  </si>
  <si>
    <t>Salaojasora</t>
  </si>
  <si>
    <t>Pontit</t>
  </si>
  <si>
    <t>Vetyperoksidi</t>
  </si>
  <si>
    <t>Polysulfidit</t>
  </si>
  <si>
    <t>kgCO2e/m</t>
  </si>
  <si>
    <t>Maaviemäri, ka., PVC 160 mm</t>
  </si>
  <si>
    <t>Aktiivihiili - regeneroitu</t>
  </si>
  <si>
    <t>Aktiivihiili - kookos</t>
  </si>
  <si>
    <t>Aktiivihiili - hiili</t>
  </si>
  <si>
    <t>Ilman lämmön hyödyntämistä</t>
  </si>
  <si>
    <t>HDPE-kalvo</t>
  </si>
  <si>
    <t>Huokosilma</t>
  </si>
  <si>
    <t>https://co2data.fi/infra/reports/INFRA%20asfaltti%20R01.03.pdf</t>
  </si>
  <si>
    <t>Kalkki</t>
  </si>
  <si>
    <t>Puun taimet</t>
  </si>
  <si>
    <t>Aumakäsittely</t>
  </si>
  <si>
    <t>Asfaltti</t>
  </si>
  <si>
    <t>Kuorikate</t>
  </si>
  <si>
    <t>kgCO2e/m3</t>
  </si>
  <si>
    <t>Maanparannuskalkki</t>
  </si>
  <si>
    <t>kgCO2e/kpl</t>
  </si>
  <si>
    <t>Lannoitteet</t>
  </si>
  <si>
    <t>Oletetaan kierrätysmateriaaliksi</t>
  </si>
  <si>
    <t>Tuotteistetut kasvualustat</t>
  </si>
  <si>
    <t>Oletetaan uusiokäyttö</t>
  </si>
  <si>
    <t>Fytoremeditaatio</t>
  </si>
  <si>
    <t>Bentoniitti</t>
  </si>
  <si>
    <t>m3rtr</t>
  </si>
  <si>
    <t>CO2e/m3</t>
  </si>
  <si>
    <t>Kirjoita tähän kuljetettavan työkoneen tai muun työmaakaluston kuvaus 1</t>
  </si>
  <si>
    <t>Kirjoita tähän kuljetettavan työkoneen tai muun työmaakaluston kuvaus 2</t>
  </si>
  <si>
    <t>Kirjoita tähän kuljetettavan työkoneen tai muun työmaakaluston kuvaus 3</t>
  </si>
  <si>
    <t>Kuljetusten päästökerroin (yhden tonnin kuljettaminen kilometrin matkan verran oletetulla kuormamäärällä ja ajettavalla reittityypillä)</t>
  </si>
  <si>
    <t>Siirtoajon päästökerroin (kilometrin matka tyhjänä)</t>
  </si>
  <si>
    <t>Kuormausaste</t>
  </si>
  <si>
    <t>Ajettavan reitin tyyppi</t>
  </si>
  <si>
    <t>Kaluston kokonaispaino</t>
  </si>
  <si>
    <t>Kuljetusvälinetyyppi</t>
  </si>
  <si>
    <t>Kuljetettu massamäärä</t>
  </si>
  <si>
    <t>Kuljetusmatkat yhteensä</t>
  </si>
  <si>
    <t>Kuljetusmatka</t>
  </si>
  <si>
    <t>Siirtoajomatka</t>
  </si>
  <si>
    <t>Siirtoajomatkat yhteensä</t>
  </si>
  <si>
    <t>Siirtoajon päästökerroin</t>
  </si>
  <si>
    <t>Työkoneen päästökerroin (per purettava kuutiometri)</t>
  </si>
  <si>
    <t>Työkoneen päästökerroin (per purettava neliömetri)</t>
  </si>
  <si>
    <t>Työkoneiden päästökerroin (per raivattu neliömetri)</t>
  </si>
  <si>
    <t>Puuston sisältämän hiilen määrä (per raivattu neliömetri)</t>
  </si>
  <si>
    <t>Kirjoita tähän maa-aineksen tai materiaalin kuvaus 1</t>
  </si>
  <si>
    <t>Kirjoita tähän maa-aineksen tai materiaalin kuvaus 2</t>
  </si>
  <si>
    <t>Kirjoita tähän maa-aineksen tai materiaalin kuvaus 3</t>
  </si>
  <si>
    <t>Kirjoita tähän maa-aineksen tai materiaalin kuvaus 4</t>
  </si>
  <si>
    <t>Murske (valitse tarvittaessa sopivampi yksikkö ja muuntokerroin tonneiksi)</t>
  </si>
  <si>
    <t>Louhe (valitse tarvittaessa sopivampi yksikkö ja muuntokerroin tonneiksi)</t>
  </si>
  <si>
    <t>Sora (valitse tarvittaessa sopivampi yksikkö ja muuntokerroin tonneiksi)</t>
  </si>
  <si>
    <t>Hiekka (valitse tarvittaessa sopivampi yksikkö ja muuntokerroin tonneiksi)</t>
  </si>
  <si>
    <t>Maa-aineksen 5 kuvaus (valitse yksikkö ja mahdollinen muuntokerroin tonneiksi)</t>
  </si>
  <si>
    <t>Maa-aineksen tuotannon päästökerroin</t>
  </si>
  <si>
    <t>Poistettavia maa-aineksia korvaavien maa-ainesten määrä</t>
  </si>
  <si>
    <t>kgCO2/kg</t>
  </si>
  <si>
    <t>Käsiteltävä määrä</t>
  </si>
  <si>
    <t>Työkoneen päästökerroin (per työtunti)</t>
  </si>
  <si>
    <t>Varastoitava määrä irtotilavuutena ja muuntokerroin tonneiksi</t>
  </si>
  <si>
    <t>Käsiteltävä ainesmäärä kuutiometreinä</t>
  </si>
  <si>
    <t>Työkoneiden käyttö työtunteina</t>
  </si>
  <si>
    <t>Käsittelyn vuoksi raivattavan puuston pinta-ala neliömetreinä</t>
  </si>
  <si>
    <t>Käsittelyn vuoksi alueelta poistettava asfalttipinta neliömetreinä</t>
  </si>
  <si>
    <t>Maa-ainesten poisto ja muu kaivu</t>
  </si>
  <si>
    <t>Alueelle levitetty täyttö kiintokuutioina; määrän voi jättää antamatta, jos korvaavien maa-ainesten määrä on syötetty jo aiemmassa kohdassa</t>
  </si>
  <si>
    <t>Pumppujen kokonaiskäyttöaika ja sitä kuvaava aikayksikkö alasvetovalikosta</t>
  </si>
  <si>
    <t>Pumppujen yhteenlaskettu teho watteina</t>
  </si>
  <si>
    <t>Jos pumppujen tarvitsema energiamäärä voidaan arvioida (ensisijainen laskentatapa)</t>
  </si>
  <si>
    <t>Jos pumppujen tarvitsema teho voidaan arvioida (toissijainen laskentatapa)</t>
  </si>
  <si>
    <t>Täytöt ja muu korvaavien maa-ainesten käyttö alueella</t>
  </si>
  <si>
    <t>Käsittelyssä tarvittavien työkoneiden ja muun työmaakaluston kuljetus alueelle sekä niiden kuljetus alueelta pois käsittelyn päättyessä</t>
  </si>
  <si>
    <t>Tuonti</t>
  </si>
  <si>
    <t>Vienti</t>
  </si>
  <si>
    <t>Työkoneiden ja muun työmaakaluston pois kuljetukset huomioitu jo aiemmin</t>
  </si>
  <si>
    <t>Kirjoita tähän työvaiheen nimi 1</t>
  </si>
  <si>
    <t>Kirjoita tähän työvaiheen nimi 2</t>
  </si>
  <si>
    <t>Kirjoita tähän työvaiheen nimi 3</t>
  </si>
  <si>
    <t>Käsittelyn veden määrä puhdistuskohteessa kuutiometrinä</t>
  </si>
  <si>
    <t>Huom. käsitellyn veden määrää ei huomioida tässä laskuriversiossa</t>
  </si>
  <si>
    <t>Jäteveden käsittelyn oletuskerroin</t>
  </si>
  <si>
    <t>Jätevedet</t>
  </si>
  <si>
    <t>Jäteveden käsittely</t>
  </si>
  <si>
    <t>Arvio</t>
  </si>
  <si>
    <t>Arvio Awaitey (2020) opinnäytetyön pohjalta</t>
  </si>
  <si>
    <t>Viemäröidyn veden määrä kuutiometreinä</t>
  </si>
  <si>
    <t>Muunto</t>
  </si>
  <si>
    <t>Laskennallinen päästökerroin</t>
  </si>
  <si>
    <t>Biokaasu</t>
  </si>
  <si>
    <t>Kaluston kuljetuksessa käytettävä kuljetusväline ja sen kokonaismassa, kuormausaste ja ajettavan reitin tyyppi (valitse viereisestä alasvetovalikosta)</t>
  </si>
  <si>
    <t>Kuljetettavan kaluston massa tonneina</t>
  </si>
  <si>
    <t>Kuljetusvälineen käyttövoima (valitse viereisestä alasvetovalikosta)</t>
  </si>
  <si>
    <t>Kaluston kuljetusmatkan pituus yhteen suuntaan kilometreinä</t>
  </si>
  <si>
    <t>Käsittelyä varten tehtävät puuston, asfalttipintojen  tai rakenteiden poisto</t>
  </si>
  <si>
    <t>Työkoneen käyttövoima (valitse viereisestä alasvetovalikosta)</t>
  </si>
  <si>
    <t>Käytettävä työkone (valitse viereisestä alasvetovalikosta)</t>
  </si>
  <si>
    <t>Käsittelyteho (maa-ainesmäärä per tunti), konetuntien tarve (tunti per maa-ainesmäärä) tai työvaiheen kokonaistuntiarvio sekä sopiva yksikkö (valitse viereisestä alasvetovalikosta)</t>
  </si>
  <si>
    <t>Maa-ainesten tai purkumateriaalien kuljetuksessa käytettävä kuljetusväline ja sen kokonaismassa, kuormausaste ja ajettavan reitin tyyppi (valitse viereisestä alasvetovalikosta)</t>
  </si>
  <si>
    <t>Kuljetetun maa-aineksen tai purkumateriaalien määrä, käytetty yksikkö (valitse alasvetovalikosta) ja tarvittava muuntokerroin kuutiosta tonneiksi</t>
  </si>
  <si>
    <t>Maa-aineksen tai materiaalin kuljetusmatkan pituus yhteen suuntaan kilometreinä</t>
  </si>
  <si>
    <t>Vastaanottopaikassa loppusijoitettava maa-aineksen määrä kiintokuutioina (sijoitukseen tarvittavien työkoneiden päästöjen laskenta)</t>
  </si>
  <si>
    <t>Oletus</t>
  </si>
  <si>
    <t>Oletetaan pääomahyödykkeeksi (ei mukana hiilijalanjäljen laskennassa)</t>
  </si>
  <si>
    <t>CO2data.fi ja Ratu-kortisto</t>
  </si>
  <si>
    <t>Loppukäsittelyn oletus (rakentaminen)</t>
  </si>
  <si>
    <t>Jatkokäsittelyn päästökerroin (per käsitelty kuutiometri)</t>
  </si>
  <si>
    <t>Korvattavan maa-aineksen päästökerroin (per kuutiometri)</t>
  </si>
  <si>
    <t>Hiilijalanjäljen ulkopuolinen bruttomääräinen ilmastohyöty</t>
  </si>
  <si>
    <t>Maa-aineksen kuljetusmatkan pituus yhteen suuntaan kilometreinä</t>
  </si>
  <si>
    <t>Maa-aineksen määrä (edellisen kohdan tiedot)</t>
  </si>
  <si>
    <t>Muulla tavoin vastaanottopaikassa jatkokäsiteltävän Maa-aineksen määrä (edellisen kohdan tiedot) kiintokuutioina ja L-sarakkeelle käsittelyn päästökerroin (oletusarvona rakentamisen jätteiden käsittelyn keskiarvo)</t>
  </si>
  <si>
    <t>Maa-aineksen määrä (edellisen kohdan tiedot) (edellisen kohdan tiedot)</t>
  </si>
  <si>
    <t>Vertailuksi yllä ilmoitettujen korvaavien maa-aineisten määrä tonneina</t>
  </si>
  <si>
    <t>Käytettävä kuljetusväline ja sen kokonaismassa, kuormausaste ja ajettavan reitin tyyppi (valitse viereisestä alasvetovalikosta)</t>
  </si>
  <si>
    <t>Seulonta tms. maa-ainesten muu käsittely</t>
  </si>
  <si>
    <t>Maa-aineisten välivarastointi alueella</t>
  </si>
  <si>
    <t>Vesien pumppaaminen</t>
  </si>
  <si>
    <t>Energialähteen oletuspäästökerroin (per energiayksikkö)</t>
  </si>
  <si>
    <t>gCO2/e-yksikkö</t>
  </si>
  <si>
    <t>Polttomoottoripumpun hyötysuhde</t>
  </si>
  <si>
    <t>Pumpun hyötysuhde</t>
  </si>
  <si>
    <t>Sähköpumppu</t>
  </si>
  <si>
    <t>Pumppujen energiankulutus käytön aikana ja yksikkö joko kilowattitunteina tai litroina (valitse viereisestä alasvetovalikosta)</t>
  </si>
  <si>
    <t>Valitse yksikkö</t>
  </si>
  <si>
    <t>litra</t>
  </si>
  <si>
    <t xml:space="preserve">Edeltävän reittiosuuden kuljetustapa (valitse alasvetovalikosta) ja reittiosuuden pituus </t>
  </si>
  <si>
    <t>Edeltävän reittiosuuden kuljetustapa (valitse alasvetovalikosta) ja reittiosuuden pituus</t>
  </si>
  <si>
    <t>Aumakäsittelyn työmaatoiminta</t>
  </si>
  <si>
    <t>Aumojen kasaus ja rakentaminen (käsiteltävän aineksen määrä kuutiometreinä)</t>
  </si>
  <si>
    <t>Aumojen kääntö ja muotoilu (käsiteltävän aineksen määrä kuutiometreinä)</t>
  </si>
  <si>
    <t>Seulonta tms. käsittely (käsiteltävän aineksen määrä kuutiometreinä)</t>
  </si>
  <si>
    <t>Tuotteen tai materiaalin valmistuksen päästökerroin (per yksikkö)</t>
  </si>
  <si>
    <t>Materiaalin kuljetusmatkan pituus yhteen suuntaan kilometreinä</t>
  </si>
  <si>
    <t>Materiaalin kuljetuksessa käytettävä kuljetusväline ja sen kokonaismassa, kuormausaste ja ajettavan reitin tyyppi (valitse viereisestä alasvetovalikosta)</t>
  </si>
  <si>
    <t>Vastaanottopaikassa loppusijoitettava materiaalin määrä kiintokuutioina (sijoitukseen tarvittavien työkoneiden päästöjen laskenta)</t>
  </si>
  <si>
    <t>Kuljetetun materiaalin määrä, käytetty yksikkö (valitse alasvetovalikosta) ja tarvittaessa muuntokerroin kuutiosta tonneiksi</t>
  </si>
  <si>
    <t>Huom. oletuksena on, että kuljetusväline lähtee tyhjänä jätteen vastaanottopaikasta ja matka kohdealueelle tapahtuu siirtoajona.</t>
  </si>
  <si>
    <t>Laji 1 ja käsitelty määrä tonneina</t>
  </si>
  <si>
    <t>Laji 2 ja käsitelty määrä tonneina</t>
  </si>
  <si>
    <t>Laji 3  ja käsitelty määrä tonneina</t>
  </si>
  <si>
    <t>Laji 4  ja käsitelty määrä tonneina</t>
  </si>
  <si>
    <t>Laji 5  ja käsitelty määrä tonneina</t>
  </si>
  <si>
    <t>Korvattavan materiaalin päästökerroin</t>
  </si>
  <si>
    <t>Loppukäsittelyn (keskiarvo rakentaminen)</t>
  </si>
  <si>
    <t>Oletus rakentamisjätteen käsittelyn pohjalta CO2data.fi (concrete materials) ja muunnokset (karkea hiekka t/m3itd, muunnos m3rtd/m3itd)</t>
  </si>
  <si>
    <t>Oletus rakentamisjätteen käsittelyn pohjalta CO2data.fi (keskiarvo)</t>
  </si>
  <si>
    <t>Energiahyödyntämisen päästökerroin</t>
  </si>
  <si>
    <t>Työkoneiden päästökerroin (per käsitelty kuutiometri)</t>
  </si>
  <si>
    <t>Ajoneuvon keskikulutus (per energiayksikkö per 100 km)</t>
  </si>
  <si>
    <t>Massanvaihdon valmistelu- ja puhdistusvaihe</t>
  </si>
  <si>
    <t>Kemikaalien, tuotteiden ja materiaalien kuljetusreitti on mahdollista kuvata enintään neljänä reittisosuutena lähtöpaikasta kohdealueelle (esim. kuljetus rekalla kemikaalin valmistuspaikasta satamaan, merikuljetus autolautalla, kuljetus satamasta rekalla varastoon ja kuorma-autokuljetus varastosta kohdealueelle).</t>
  </si>
  <si>
    <t>Massanvaihdon ja mahdollisen aumakäsittelyn puhdistusvaiheen päättäminen</t>
  </si>
  <si>
    <t xml:space="preserve">Kierrätettävä tai materiaalihyödynnettävä osuus muulla tavoin käsitellystä maa-aineksesta </t>
  </si>
  <si>
    <t xml:space="preserve">Energiahyödynnettävä osuus muulla tavoin käsitellystä maa-aineksesta </t>
  </si>
  <si>
    <t xml:space="preserve">Kierrätettävä osuus muulla tavoin käsitellystä maa-aineksesta </t>
  </si>
  <si>
    <t xml:space="preserve">Kuljetettavan kaluston massa tonneina </t>
  </si>
  <si>
    <t xml:space="preserve">Kaluston kuljetusmatkan pituus yhteen suuntaan kilometreinä </t>
  </si>
  <si>
    <t>Kaivettavan ja muotoiltavan maa-aineksen määrä ja yksikkö (valitse viereisestä alasvetovalikosta)</t>
  </si>
  <si>
    <t>Ajoneuvojen käyttövoima (valitse viereisestä alasvetovalikosta)</t>
  </si>
  <si>
    <t>Puhdistamisen jälkeen tehdyn edestakaisen työasiamatkan pituus kilometreinä</t>
  </si>
  <si>
    <t>Työasiamatkat puhdistamisen jälkeen (tutkimukset, tarkkailut ym.) lukumäärinä vuodessa</t>
  </si>
  <si>
    <t>Puhdistamisen aikana tehdyn edestakaisen työasiamatkan keskipituus kilometreinä</t>
  </si>
  <si>
    <t>Työasiamatkat puhdistamisen aikana (urakointi, työmaavalvonta, kokoukset ym.) lukumäärinä viikossa</t>
  </si>
  <si>
    <t>Ennen puhdistamista tehdyn edestakaisen työasiamatkan keskipituus kilometreinä</t>
  </si>
  <si>
    <t>Työasiamatkat ennen puhdistamista (tutkimukset, tarkkailut ym.) lukumäärinä vuodessa</t>
  </si>
  <si>
    <t>Oletusarvo (0,012 h/m3) perustuu Ratu-kortiston maankaivuun ja kuormauksen arvoon</t>
  </si>
  <si>
    <t>Arvio maankaivuun ja kuormauksen tiedoilla (edellistä vaativampi työskentelyalue) KKH21(h/m3ktr)</t>
  </si>
  <si>
    <t>Bensiinin elinkaarikerroin (kgCO2e/l)</t>
  </si>
  <si>
    <t>Tilastokeskus</t>
  </si>
  <si>
    <t>Puun korjuu, hakkuukone (kgCO2e/m3)</t>
  </si>
  <si>
    <t>Ratu-kortisto, CO2data.fi ja arvio</t>
  </si>
  <si>
    <t>CO2data.fi, Autokalkulaattori, arvio ja Ratu-kortisto</t>
  </si>
  <si>
    <t>Ratu-kortisto ja CO2data.fi</t>
  </si>
  <si>
    <t>Mahdollisten käsittelyssä poistettavien maa-ainesten ja purkumateriaalien kuljetukset pois alueelta</t>
  </si>
  <si>
    <t>Huom. kohteesta poistettavan maa-aineksen hyödyntämisen synnyttämää ilmastohyötyä tarkastellaan hiilijalanjäljen elinkaaritarkastelun ulkopuolisena eränä.</t>
  </si>
  <si>
    <t>Maan kaivu ja muotoilu (valmistelu- ja puhdistusvaihe)</t>
  </si>
  <si>
    <t>Kirjoita tähän työvaiheen nimi 4</t>
  </si>
  <si>
    <t>Vastaanottopaikassa loppusijoitettava puhdistusvaiheen lopussa syntynyt maa-aineksen määrä kiintokuutioina (sijoitukseen tarvittavien työkoneiden päästöjen laskenta)</t>
  </si>
  <si>
    <t>Muulla tavoin vastaanottopaikassa jatkokäsiteltävän maa-aineksen määrä (edellisen kohdan tiedot) kiintokuutioina ja L-sarakkeelle käsittelyn päästökerroin (oletusarvona rakentamisen jätteiden käsittelyn keskiarvo)</t>
  </si>
  <si>
    <t>Poistettujen kertakäyttöisten rakenteiden ja materiaalien jatkokäsittely (pl. maa-ainekset)</t>
  </si>
  <si>
    <t>Kierrätysmateriaali</t>
  </si>
  <si>
    <t>Tuotteen tai materiaalin määrä annetuissa yksiköissä</t>
  </si>
  <si>
    <t>Jos tarvittavan energian määrä voidaan arvioida (ensisijainen laskentatapa)</t>
  </si>
  <si>
    <t>Käytetty energialähde (valitse viereisestä alasvetovalikosta)</t>
  </si>
  <si>
    <t>Pumppujen käyttämä energialähde (valitse viereisestä alasvetovalikosta)</t>
  </si>
  <si>
    <t>Yhteenlaskettu teho watteina</t>
  </si>
  <si>
    <t>Jos tarvittu teho voidaan arvioida (toissijainen laskentatapa)</t>
  </si>
  <si>
    <t>Energiankulutus käytön aikana ja yksikkö joko kilowattitunteina tai litroina (valitse viereisestä alasvetovalikosta)</t>
  </si>
  <si>
    <t>Termisen käsittelyn valmistelu- ja puhdistusvaihe</t>
  </si>
  <si>
    <t>Huokosilmakäsittelyn valmistelu- ja puhdistusvaihe</t>
  </si>
  <si>
    <t>Fytoremediaation valmistelu- ja puhdistusvaihe</t>
  </si>
  <si>
    <t>Valmisteluvaiheessa tarvittavat työkoneet</t>
  </si>
  <si>
    <t>Puhdistuksen päättämisen jälkeinen valvontavaihe</t>
  </si>
  <si>
    <t>Kertoimet: Materiaalit</t>
  </si>
  <si>
    <t>Kertoimet: Kalusto</t>
  </si>
  <si>
    <t>Kertoimet: Muut</t>
  </si>
  <si>
    <t>Oletus polttoöljyn perusteella</t>
  </si>
  <si>
    <t>Pudotusvalikot</t>
  </si>
  <si>
    <t>Arvio maankaivuun ja kuormauksen tiedoilla KKH21(h/m3itd ja muunnos m3ktr:ksi)</t>
  </si>
  <si>
    <t>Injektointien valmistelu- ja puhdistusvaihe</t>
  </si>
  <si>
    <t>Mahdolliset poistettavia maa-aineksia korvaavien maa-ainesten määrä</t>
  </si>
  <si>
    <t>Työasiamatkat (pl. puhdistuksen päättymisen jälkeinen seurantavaihe)</t>
  </si>
  <si>
    <t>Työasiamatkat puhdistuksen päättämisen jälkeisessä valvontavaiheessa</t>
  </si>
  <si>
    <t>Kaluston tuonti</t>
  </si>
  <si>
    <t>Kaluston vienti</t>
  </si>
  <si>
    <t>Asfaltin poisto</t>
  </si>
  <si>
    <t>Puuston poisto (hiilivaraston muutos)</t>
  </si>
  <si>
    <t>LULUCF-päästöt</t>
  </si>
  <si>
    <t>Puuston poisto (työkoneet)</t>
  </si>
  <si>
    <t>Valmistelu- ja puhdistusvaihe</t>
  </si>
  <si>
    <t xml:space="preserve">Muut asennus- ja valmisteluvaiheen työkoneita tarvitsevat työosuudet </t>
  </si>
  <si>
    <t>Siirtoajot</t>
  </si>
  <si>
    <t>Siirtoajojen päästöt</t>
  </si>
  <si>
    <t>Viemäröity vesi</t>
  </si>
  <si>
    <t>Puhdistus</t>
  </si>
  <si>
    <t>Seuranta</t>
  </si>
  <si>
    <t>Ilmastohyödyt</t>
  </si>
  <si>
    <t>Hiilijalanjälki yhteensä</t>
  </si>
  <si>
    <t>Huomiot ja muistiinpanot</t>
  </si>
  <si>
    <t>Mahdolliset täytöt ja muu korvaavien maa-ainesten käyttö alueella</t>
  </si>
  <si>
    <t>Eristäminen</t>
  </si>
  <si>
    <t>Eristämisen valmistelu- ja puhdistusvaihe</t>
  </si>
  <si>
    <t>Eristäminen:</t>
  </si>
  <si>
    <t>Käytettävät kertakäyttöiset tuotteet tai materiaalit</t>
  </si>
  <si>
    <t>Käytettävien kemikaalien, tuotteiden ja materiaalien kuljetukset alueelle</t>
  </si>
  <si>
    <t>Muu työkoneiden käyttö (rammerointi, tiivistykset ym.)</t>
  </si>
  <si>
    <t>Valvontavaihe</t>
  </si>
  <si>
    <t>Päättämisvaihe</t>
  </si>
  <si>
    <t>Materiaalit</t>
  </si>
  <si>
    <t>Työkoneet</t>
  </si>
  <si>
    <t>Osuus hiilijalanjäljestä  (%)</t>
  </si>
  <si>
    <t>Maankäytön ja maankäytön muutoksen päästöt (LULUCF)</t>
  </si>
  <si>
    <t>Biopohjaiset (biogeeniset) päästöt</t>
  </si>
  <si>
    <t>Ei huomioida</t>
  </si>
  <si>
    <t>Jätteet</t>
  </si>
  <si>
    <t>Muut päästölähteet</t>
  </si>
  <si>
    <t>Puhdistusvaihe</t>
  </si>
  <si>
    <t>Seurantavaihe</t>
  </si>
  <si>
    <t>Maankäyttö ja maankäytön muutos</t>
  </si>
  <si>
    <t>Yhteensä</t>
  </si>
  <si>
    <t>Palaako kuljetusväline tyhjänä takaisin lähtöpaikkaan? Valitse viereisen solun alasvetovalikosta Kyllä- tai Ei-vastaus. Tämä oletus koskee yksinkertaisuuden vuoksi kaikkia yllä olevia kuljetuksia sekä alueelle kalustoa tuotaessa että niitä alueelta pois vietäessä.</t>
  </si>
  <si>
    <t>Käsittelyssä poistetun maa-aineksen käsittely kohteen ulkopuolella (ilmastohyödyt)</t>
  </si>
  <si>
    <t>Massanvaihto</t>
  </si>
  <si>
    <t>Poistettujen kertakäyttöisten rakenteiden ja materiaalien jatkokäsittely (pl. maa-ainekset) (ilmastohyödyt)</t>
  </si>
  <si>
    <t>Poistetun maan jatkokäsittely vastaanottopaikassa (ilmastohyödyt)</t>
  </si>
  <si>
    <t>Päästösvaihe</t>
  </si>
  <si>
    <t>Valmistelu- ja päätösvaihe</t>
  </si>
  <si>
    <t>Mahdollisten käsittelyssä poistettavien maa-ainesten ja purkumateriaalien kuljetukset</t>
  </si>
  <si>
    <t>Huom. laskentatyökalu ei huomioi kasvien mahdollisesta polttamisesta aiheutuvia biopohjaisia päästöjä.</t>
  </si>
  <si>
    <t>Muut (ml. vesien viemäröinti ja työasiamatkat)</t>
  </si>
  <si>
    <t>Nettomääräiset ilmastohyödyt</t>
  </si>
  <si>
    <t>Kokonais-
päästöt</t>
  </si>
  <si>
    <t>Maankäytön ja maankäytön muutoksen päästöt</t>
  </si>
  <si>
    <r>
      <t>m</t>
    </r>
    <r>
      <rPr>
        <vertAlign val="superscript"/>
        <sz val="12"/>
        <color theme="1"/>
        <rFont val="Arial"/>
        <family val="2"/>
        <scheme val="minor"/>
      </rPr>
      <t>3</t>
    </r>
    <r>
      <rPr>
        <sz val="12"/>
        <color theme="1"/>
        <rFont val="Arial"/>
        <family val="2"/>
        <scheme val="minor"/>
      </rPr>
      <t>ktr</t>
    </r>
  </si>
  <si>
    <t>Kaivettava määrä (oletusarvoisesti koko kaivettava määrä)</t>
  </si>
  <si>
    <r>
      <t>m</t>
    </r>
    <r>
      <rPr>
        <sz val="11"/>
        <color theme="1"/>
        <rFont val="Arial"/>
        <family val="2"/>
        <scheme val="minor"/>
      </rPr>
      <t>3ktr</t>
    </r>
  </si>
  <si>
    <r>
      <t>m</t>
    </r>
    <r>
      <rPr>
        <sz val="11"/>
        <color theme="1"/>
        <rFont val="Arial"/>
        <family val="2"/>
        <scheme val="minor"/>
      </rPr>
      <t>3/h</t>
    </r>
  </si>
  <si>
    <r>
      <t>m</t>
    </r>
    <r>
      <rPr>
        <sz val="11"/>
        <color theme="1"/>
        <rFont val="Arial"/>
        <family val="2"/>
        <scheme val="minor"/>
      </rPr>
      <t>3rtr</t>
    </r>
  </si>
  <si>
    <r>
      <t>h/m</t>
    </r>
    <r>
      <rPr>
        <sz val="11"/>
        <color theme="1"/>
        <rFont val="Arial"/>
        <family val="2"/>
        <scheme val="minor"/>
      </rPr>
      <t>3</t>
    </r>
  </si>
  <si>
    <r>
      <t>m</t>
    </r>
    <r>
      <rPr>
        <sz val="11"/>
        <color theme="1"/>
        <rFont val="Arial"/>
        <family val="2"/>
        <scheme val="minor"/>
      </rPr>
      <t>3itd</t>
    </r>
  </si>
  <si>
    <r>
      <t>m</t>
    </r>
    <r>
      <rPr>
        <sz val="11"/>
        <color theme="1"/>
        <rFont val="Arial"/>
        <family val="2"/>
        <scheme val="minor"/>
      </rPr>
      <t>3</t>
    </r>
  </si>
  <si>
    <r>
      <t>m</t>
    </r>
    <r>
      <rPr>
        <sz val="11"/>
        <color theme="1"/>
        <rFont val="Arial"/>
        <family val="2"/>
        <scheme val="minor"/>
      </rPr>
      <t>2</t>
    </r>
  </si>
  <si>
    <t>Käsiteltävä määrä kiintokuutioina</t>
  </si>
  <si>
    <t>Työssä tarvittavien työkoneiden ja muun työmaakaluston kuljetus alueelle sekä niiden kuljetus alueelta pois käsittelyn päättyessä</t>
  </si>
  <si>
    <t>Muut käsittelyyn liittyvät työkoneita vaativat työt (esim. rammeroinnit ja tiivistykset)</t>
  </si>
  <si>
    <t>Työssä poistetun maa-aineksen käsittely kohteen ulkopuolella</t>
  </si>
  <si>
    <t>Työssä poistettavien maa-ainesten ja purkumateriaalien kuljetukset</t>
  </si>
  <si>
    <t>Työtä varten tehtävät puuston, asfalttipintojen  tai rakenteiden poisto</t>
  </si>
  <si>
    <t>Kohteen pinta-ala ja massamäärä täytetään Kohdetiedot ja yhteenveto -välilehdelle. Täytä pinta-ala ja massamäärä huolellisesti, sillä solujen tietoja käytetään menetelmäkohtaisiin laskelmiin.</t>
  </si>
  <si>
    <t>Yhteenveto tuloksista</t>
  </si>
  <si>
    <t>Tulokset haetaan automaattisesti laskentavälilehdiltä. Ylimääräiset rivit ja sarakkeet voi halutessaan piilottaa.</t>
  </si>
  <si>
    <t>Solut on merkitty seuraavasti:</t>
  </si>
  <si>
    <t>Tarvittaessa muokattava solu (esim. muuntokertoimet, omat päästökertoimet)</t>
  </si>
  <si>
    <t>Laskentasolu, ei muokata</t>
  </si>
  <si>
    <t>Laskentavälilehdillä on pyritty huomioimaan työssä tarvittavat erilaiset työkoneet ja materiaalit sekä erilaiset maa-ainekset, joita voidaan toimittaa eri vastaanottopaikkoihin.  Ylimääräiset rivit voi halutessaan piilottaa.</t>
  </si>
  <si>
    <t>3. Päästökertoimet</t>
  </si>
  <si>
    <t>4. Pudotusvalikot</t>
  </si>
  <si>
    <t>Yksityiskohtaisia ohjeita on esitetty laskentavälilehdillä syöttösolujen yhteydessä sekä sinisillä otsikkoriveillä olevissa muistiinpanoissa.</t>
  </si>
  <si>
    <t>Ohje ja esittely</t>
  </si>
  <si>
    <t>Kohdetiedot ja yhteenveto</t>
  </si>
  <si>
    <t>Tulostaminen</t>
  </si>
  <si>
    <t>PIIP-laskentatyökalu</t>
  </si>
  <si>
    <t xml:space="preserve">Palaute ja kehitysehdotukset: </t>
  </si>
  <si>
    <t>Palautetta ja kehitysehdotuksia voi lähettää osoitteeseen maaperakuntoon@ely-keskus.fi</t>
  </si>
  <si>
    <t>Oletusarvo (0,012 h/m3) perustuu Ratu-kortiston maankaivun ja kuormauksen arvoon</t>
  </si>
  <si>
    <t>Päästöt suhteessa puhdistet-tavaan määrään</t>
  </si>
  <si>
    <t>Eristettävä alue (% kokonaispinta-alasta)</t>
  </si>
  <si>
    <t>Puhdistuksen energiankäyttö
(muut kuin työkoneet)</t>
  </si>
  <si>
    <t>Kohteen tiedot</t>
  </si>
  <si>
    <t>Osuus
kokonai-
suudesta
Maaperä</t>
  </si>
  <si>
    <t>Osuus
kokonai-
suudesta
Pohjavesi</t>
  </si>
  <si>
    <t>-</t>
  </si>
  <si>
    <t>Valitse viereisestä alasvetovalikosta sopiva vaihtoehto; jos sopivaa vaihtoehtoa ei valikosta löydy, määrittele L-sarakkeessa kemikaalille, tuotteelle tai materiaalille sopiva päästökerroin muodossa kgCO2/yksikkö tai kgCO2e/yksikkö</t>
  </si>
  <si>
    <t>Kohdealueelle päätyvän reittiosuuden kuljetustapa</t>
  </si>
  <si>
    <t>kohdealueelle päätyvän reittiosuuden kuljetustapa</t>
  </si>
  <si>
    <t>Jos tunnistettavia kuljetusosuuksia on vain yksi kuten esim. kuljetus kotimaiselta varastolta kohdealueelle, voi alasvetovalikosta valita tarkemman kuvauksen tiekuljetuksessa käytettävästä kuljetusvälineestä (kohdealueelle päätyvän reittiosuuden kuljetustapa -kohta). Useamman reittiosuuden sisältävän kuljetuksen tapauksessa on viimeiselle, kohdealueelle päätyvälle kuljetusosuudelle mahdollista valita tarkempi kuljetusvälinekuvaus (kohdealueelle päätyvän reittiosuuden kuljetustapa -kohta).</t>
  </si>
  <si>
    <t>Kuljetukset summa</t>
  </si>
  <si>
    <t>Työkoneet summa</t>
  </si>
  <si>
    <t>Muut päästölähteet summa</t>
  </si>
  <si>
    <t>Puhdistuksen päättämisen jälkeinen tarkkailu</t>
  </si>
  <si>
    <t>Työasiamatkat (massanvaihto pl. tarkkailu)</t>
  </si>
  <si>
    <t>Massanvaihdossa käytettävien materiaalien kuljetukset alueelle</t>
  </si>
  <si>
    <t>Aumakäsittelyssä tarvittavien työkoneiden ja muun työmaakaluston kuljetus alueelle sekä niiden kuljetus alueelta pois käsittelyn päättyessä</t>
  </si>
  <si>
    <t>Aumakäsittelyssä käytettävien kemikaalien ja kertakäyttöisten materiaalien valmistus</t>
  </si>
  <si>
    <t>Aumakäsittelyssä käytettävien kemikaalien, tuotteiden ja materiaalien kuljetukset alueelle</t>
  </si>
  <si>
    <t>Aumakäsittelyn työasiamatkat</t>
  </si>
  <si>
    <t>Kuvaajin on esitetty eri puhdistusmenetelmien kokonaispäästöt sekä päästölähteiden jakauma, jossa on huomioitu kaikki tarkastellut puhdistusemenetelmät.</t>
  </si>
  <si>
    <t>Puhdistettavan alueen laajuus ja massamäärä syötetään osuutena kokonaisuudesta. Näin voidaan joko vertailla eri menetelmien käyttöä samassa kohteessa (aseta kaikkien arvioitavien menetelmien välilehdelle 100 %) TAI arvioida puhdistuksen ilmastovaikutusta, jos kohteessa käytetään useita eri menetelmiä (aseta arvio menetelmällä puhdistettavasta määrästä).</t>
  </si>
  <si>
    <t>Kohdetiedot ja yhteenveto -välilehden sekä menetelmien laskentojen välilehtien sivuasetukset on asetettu tulostusystävällisiksi (vaakasuuntainen A4). Sivuvaihtoja on suositeltavaa muokata, kun tarpeettomat rivit on piilotettu.</t>
  </si>
  <si>
    <t xml:space="preserve">Laskentavälilehdet on tehty puhdistusmenetelmäkohtaisesti. </t>
  </si>
  <si>
    <t>Poistettavien rakenteiden ja puhdistukseen päättämiseen liittyvien materiaalien kuljetukset</t>
  </si>
  <si>
    <t>Kaivettavan maa-aineksen määrä (% kokonaismäärästä)</t>
  </si>
  <si>
    <t>Käsiteltävän maa-aineksen määrä (% kokonaismäärästä)</t>
  </si>
  <si>
    <t>Käsiteltävän pohjaveden määrä (% kokonaismäärästä)</t>
  </si>
  <si>
    <t>Käsiteltävän maa-aineksen (% kokonaismäärästä)</t>
  </si>
  <si>
    <t>Puhdistettavan maa-aineksen määrä (% kokonaismäärästä)</t>
  </si>
  <si>
    <t>Käsiteltävän maa-aineksen määrä (edellisen kohdan tiedot) (% kokonaismäärästä)</t>
  </si>
  <si>
    <t>Energiankäyttö</t>
  </si>
  <si>
    <t xml:space="preserve"> (oletusarvona rakentamisen jätteiden käsittelyn keskiarvo)</t>
  </si>
  <si>
    <t>Hiilijalanjäljen ulkopuoliset ilmastohyödyt (ei huomioida)</t>
  </si>
  <si>
    <t>Laskennan ulkopuoliset tekijät</t>
  </si>
  <si>
    <t>Ei huomioida tarkastelussa</t>
  </si>
  <si>
    <t>Jätteet summa</t>
  </si>
  <si>
    <t>Ilmastohyödyt summa</t>
  </si>
  <si>
    <t>Valmistelu- ja seurantavaihe</t>
  </si>
  <si>
    <t>kgCO2e (biogeeninen hiili), ei huomioida laskennassa</t>
  </si>
  <si>
    <t>Laskentakerroin</t>
  </si>
  <si>
    <t>Oma yksikkö</t>
  </si>
  <si>
    <t>Valitse viereisestä alasvetovalikosta sopiva vaihtoehto; jos sopivaa vaihtoehtoa ei valikosta löydy, määrittele L-sarakkeessa kemikaalille, tuotteelle tai materiaalille sopiva päästökerroin muodossa kgCO2/yksikkö tai kgCO2e/yksikkö ja kirjaa G-sarakkeelle käytettävä määrän yksikkö</t>
  </si>
  <si>
    <t>Kerroin hukka huomioiden</t>
  </si>
  <si>
    <t>Energialähteen oletuselinkaaripäästökerroin</t>
  </si>
  <si>
    <t>Päästöt</t>
  </si>
  <si>
    <t>Energia-arvo</t>
  </si>
  <si>
    <t>Oletustiheys</t>
  </si>
  <si>
    <t>Tilastokeskus/Polttoaineluokitus 2024</t>
  </si>
  <si>
    <t>kg/l</t>
  </si>
  <si>
    <t>Muunnos - Jouleista wateiksi</t>
  </si>
  <si>
    <t>kWh/MJ</t>
  </si>
  <si>
    <t>kWh/kg</t>
  </si>
  <si>
    <t xml:space="preserve">Päästökerroin hyötysuhde huomoiden </t>
  </si>
  <si>
    <t>Arvio (keskikokoinen dieselaggregaatti)</t>
  </si>
  <si>
    <t>https://co2data.fi/infra/reports/INFRA%20muovituotteet%20R01.04.pdf, muovikalvo, PE, 0,2 mm</t>
  </si>
  <si>
    <t>Jos tarvittu teho voidaan arvioida (toissijainen laskentatapa, ei käytetä, jos tiedot syötetty edelliseen kohtaan)</t>
  </si>
  <si>
    <t>Tyyppi</t>
  </si>
  <si>
    <t>Lisätieto</t>
  </si>
  <si>
    <t>Päästökerroin, hukka huomioitu</t>
  </si>
  <si>
    <t>Päästökerroin 2</t>
  </si>
  <si>
    <t>Lähde</t>
  </si>
  <si>
    <t>Menetelmät ja rajaukset</t>
  </si>
  <si>
    <t>Laskentatyökalun käyttö</t>
  </si>
  <si>
    <t>Päivitetty/ tarkastettu</t>
  </si>
  <si>
    <t>Kasvualustat</t>
  </si>
  <si>
    <t>Materiaali</t>
  </si>
  <si>
    <t>Kalusto</t>
  </si>
  <si>
    <t>LUKE/Puuston keskitilavuus metsämaalla koko maassa</t>
  </si>
  <si>
    <t>RT 0440 Raivaus, Autokalkulaattori, CO2data.fi</t>
  </si>
  <si>
    <t>RT 0442, CO2data.fi</t>
  </si>
  <si>
    <t>Fingrid/vuosi 2022</t>
  </si>
  <si>
    <t>Energiavirasto/vuosi 2022</t>
  </si>
  <si>
    <t>Lähde, lisätieto</t>
  </si>
  <si>
    <t>Versio</t>
  </si>
  <si>
    <t>Tärkeimmät laskentatyökalun oletusarvojen tietolähteet ovat:</t>
  </si>
  <si>
    <t>Päästökerrointen välilehdillä (Materiaalit, Kalusto, Muut) on esitetty erilaisten materiaalien, kaluston sekä muiden mahdollisten tekijöiden päästökertoimet ja niiden lähteet sekä viimeisin päivitys-/tarkistuspäivä. Päästökertoimia on mahdollista päivittää uuden tutkimustiedon perusteella.</t>
  </si>
  <si>
    <t>Työkalulla voidaan havainnollistaa puhdistusmenetelmän ilmastovaikutusten suuruusluokkia.</t>
  </si>
  <si>
    <t>Työkalu keskittyy varsinaiseen puhdistusprosessiin. Sen ulkopuolelle on jätetty kohdekartoitus ja -tutkimukset, riskinarviointi sekä puhdistussuunnittelu.</t>
  </si>
  <si>
    <t>Käytettävien kasvien, kemikaalien ja kertakäyttöisten tuotteiden ja materiaalien valmistus</t>
  </si>
  <si>
    <t>Sepeli (valitse tarvittaessa sopivampi yksikkö ja muuntokerroin tonneiksi)</t>
  </si>
  <si>
    <t>Oma materiaali</t>
  </si>
  <si>
    <t>Injektoinnit ja terminen käsittely</t>
  </si>
  <si>
    <t>Massanvaihto ja aumakäsittely:</t>
  </si>
  <si>
    <t>Materiaalin kuvaus voi olla esimerkiksi pilaantuneisuuden aste ja maalaji. Syötä kyseisen materiaalin määrä ja muuntokerroin, sekä kuljetusväline, sen käyttövoima ja kuljetusmatkan pituus (yhteen suuntaan).</t>
  </si>
  <si>
    <t>Muulla tavoin vastaanottopaikassa jatkokäsiteltävän maa-aineksen määrä kiintokuutioina ja L-sarakkeelle käsittelyn päästökerroin</t>
  </si>
  <si>
    <t>Valitse energialähde</t>
  </si>
  <si>
    <t>Valitse kuljetustapa</t>
  </si>
  <si>
    <t>Jos käytät omia materiaalien kertoimia, varmistathan, että käytetty kerroin ei jo sisällä kuljetuksia.</t>
  </si>
  <si>
    <t>Muuntokertoimet kaluston käyttövoimalle</t>
  </si>
  <si>
    <t>Suorite</t>
  </si>
  <si>
    <t>SIIRTOAJOT</t>
  </si>
  <si>
    <t>Maansiirtoauto, 32 t, 0 % kuorma, maantieajo</t>
  </si>
  <si>
    <t>Maansiirtoauto, 32 t, 0 % kuorma, kaupunkiajo</t>
  </si>
  <si>
    <t>Puoliperävaunuyhdistelmä, 40 t, 0 % kuorma, maantieajo</t>
  </si>
  <si>
    <t>Puoliperävaunuyhdistelmä, 40 t, 0 % kuorma, kaupunkiajo</t>
  </si>
  <si>
    <t>Perustelu oletuskertoimelle</t>
  </si>
  <si>
    <t>Oletusarvoisesti kaivinkone, tela-alustainen, KKH 21</t>
  </si>
  <si>
    <t xml:space="preserve">HUOM! Päästökertoimet haetaan laskentavälilehdille pääasiassa käyttäen VLOOKUP -kaavaa, joten uusia sarakkeita ei saa lisätä tietoa sisältävien sarakkeiden väliin tai poistaa sieltä. Mahdolliset lisätiedot tulee kirjata taulukon oikeaan laitaan. </t>
  </si>
  <si>
    <t>Taulukon salaus</t>
  </si>
  <si>
    <t>Taulukko on osittain salattu virheitä aiheuttavien muokkausten estämiseksi. Salauksen salasana on "PIRELY"</t>
  </si>
  <si>
    <t>Päästöt lasketaan ensisijaisesti kokonaiskäyttöajan ja energiankulutuksen perusteella. Jos näitä ei ole syötetty, käytetään kokonaistehoa.</t>
  </si>
  <si>
    <t>Hyötysuhde</t>
  </si>
  <si>
    <t>https://www.itb.pl/wp-content/uploads/2024/03/ITB-EPD_611_ATUS-Group-Sp.-z-o.o.-Sp.-k.-Salamander-HDPE-Geomembranes-manufactured-by-Atus-Group.pdf</t>
  </si>
  <si>
    <t>EPD</t>
  </si>
  <si>
    <t>EPD ja CO2data.fi</t>
  </si>
  <si>
    <t>https://api.environdec.com/api/v1/EPDLibrary/Files/26839c37-c145-4dd3-d17f-08dccdbb790c/Data</t>
  </si>
  <si>
    <t>https://api.environdec.com/api/v1/EPDLibrary/Files/3b2ea76b-ecd7-44ef-88a1-08dbc3e797a5/Data</t>
  </si>
  <si>
    <t>Muu lähde</t>
  </si>
  <si>
    <t>https://legacy.winnipeg.ca/finance/findata/matmgt/documents/2012/682-2012/682-2012_appendix_h-wstp_south_end_plant_process_selection_report/appendix%207.pdf</t>
  </si>
  <si>
    <t>Y-hiilari</t>
  </si>
  <si>
    <t>https://www.sciencedirect.com/science/article/abs/pii/S0959652624014100</t>
  </si>
  <si>
    <t>Tutkimus</t>
  </si>
  <si>
    <t>Käytetään avoimen tietokantatiedon puuttumisen vuoksi yksittäisen tutkimuksen tietoa, Sponge iron, BAU scenario, cradle-to-gate approach; hukkakerroin arvio</t>
  </si>
  <si>
    <t>https://acris.aalto.fi/ws/portalfiles/portal/89596815/1_s2.0_S0301479722019296_main.pdf</t>
  </si>
  <si>
    <t>Artikkeli</t>
  </si>
  <si>
    <t>Nestemäinen happi</t>
  </si>
  <si>
    <t>Käytetään avoimen tietokantatiedon puuttumisen vuoksi tuotekohtaista tietoa (ATUS Salamander HDPE geomembrane), elinkaarivaiheet A1–A3, Potential environmental impact – mandatory indicators according to EN 15804; hukkakerroin CO2data.fi (sementti)
total</t>
  </si>
  <si>
    <t xml:space="preserve">Käytetään avoimen tietokantatiedon puuttumisen vuoksi atikkelitietoa, reactivated coal, Comparison of GWP (excl. bio.) </t>
  </si>
  <si>
    <t xml:space="preserve">Käytetään avoimen tietokantatiedon puuttumisen vuoksi atikkelitietoa, coconut, Comparison of GWP (excl. bio.) </t>
  </si>
  <si>
    <t xml:space="preserve">Käytetään avoimen tietokantatiedon puuttumisen vuoksi atikkelitietoa, coal, Comparison of GWP (excl. bio.) </t>
  </si>
  <si>
    <t>https://www.oekobaudat.de/OEKOBAU.DAT/datasetdetail/process.xhtml?uuid=e5dbd47f-b181-4d85-bafe-2efc555f6afe&amp;version=20.19.120</t>
  </si>
  <si>
    <r>
      <t>Elastomer joint tape, polysulfide; polysulphide, Global warming potential (GWP), vaiheet A1</t>
    </r>
    <r>
      <rPr>
        <sz val="11"/>
        <color theme="1"/>
        <rFont val="Aptos Narrow"/>
        <family val="2"/>
      </rPr>
      <t>–</t>
    </r>
    <r>
      <rPr>
        <sz val="11"/>
        <color theme="1"/>
        <rFont val="Arial"/>
        <family val="2"/>
      </rPr>
      <t>A3</t>
    </r>
  </si>
  <si>
    <t>ÖKOBAUDAT</t>
  </si>
  <si>
    <t>Dieselhybridien osuus kevythybrideistä (O103) ja täshybrideistä (O104)</t>
  </si>
  <si>
    <t>l/100 km (osuudella painotettu keskiarvo)</t>
  </si>
  <si>
    <t>l/100 km (Bensiini-hybridi)</t>
  </si>
  <si>
    <t>l/100 km (Bensiini-täyshybridi)</t>
  </si>
  <si>
    <t>l/100 km (Diesel-täyshybridi)</t>
  </si>
  <si>
    <t>l/100 km (Diesel-hybridi)</t>
  </si>
  <si>
    <t>kwh/100 km (Bensiini-täyshybridi sähkö)</t>
  </si>
  <si>
    <t>kwh/100 km (Diesel-täyshybridi sähkö)</t>
  </si>
  <si>
    <r>
      <t>Käytetään avoimen tietokantatiedon puuttumisen vuoksi tuotekohtaista tietoa (ATUS Salamander HDPE geomembrane), keskiarvo viidestä välillä 0,75</t>
    </r>
    <r>
      <rPr>
        <sz val="11"/>
        <color theme="1"/>
        <rFont val="Aptos Narrow"/>
        <family val="2"/>
      </rPr>
      <t>–</t>
    </r>
    <r>
      <rPr>
        <sz val="11"/>
        <color theme="1"/>
        <rFont val="Arial"/>
        <family val="2"/>
      </rPr>
      <t>2,50 mm:n paksuista kalvoa</t>
    </r>
    <r>
      <rPr>
        <sz val="11"/>
        <color theme="1"/>
        <rFont val="Arial"/>
        <family val="2"/>
        <scheme val="minor"/>
      </rPr>
      <t>, elinkaarivaiheet A1–A3, Potential for creating a greenhouse effect -
resulting from the consumption of fossil
fuels; hukkakerroin CO2data.fi (geotekstiili, PP)
total</t>
    </r>
  </si>
  <si>
    <t>Käytetään avoimen tietokantatiedon puuttumisen vuoksi tuotekohtaista tietoa (Noyryon H2O2, 49 %), Upstream ja Core, Global warming potential 
(GWP) – fossil 
(GWP) – total)
total</t>
  </si>
  <si>
    <t>Käytetään avoimen tietokantatiedon puuttumisen vuoksi yksittäisen tutkimuksen tietoa, Sponge iron, BAU scenario, net GHG emissions, cradle-to-gate approach; hukkakerroin arvio</t>
  </si>
  <si>
    <t>Nestemäinen happi, fossiilinen hiili</t>
  </si>
  <si>
    <t>Yhteenlaskettu tarvittu teho watteina</t>
  </si>
  <si>
    <t>kWh/l</t>
  </si>
  <si>
    <t>https://www.motiva.fi/ratkaisut/kestava_liikenne_ja_liikkuminen/valitse_auto_viisaasti/energialahteet</t>
  </si>
  <si>
    <t>Energiasisältö</t>
  </si>
  <si>
    <t>kW</t>
  </si>
  <si>
    <t>https://hsaoy.com/apua/aggregaatin-valinta/</t>
  </si>
  <si>
    <t>https://www.grundfos.com/fi/learn/ecademy/all-courses/basic-hydraulics-and-pump-performance/calculating-pump-efficiency</t>
  </si>
  <si>
    <t>https://tieto.traficom.fi/fi/paketti-ja-kuorma-autojen-paasto-ja-kustannuslaskuri</t>
  </si>
  <si>
    <t>Puoliperävaunuyhdistelmä, kulutus lastattuna (kWh)</t>
  </si>
  <si>
    <t>Oletetaan tietojen puuttumisen vuoksi samaksi kuin dieselillä</t>
  </si>
  <si>
    <t>- kuljetusten ja työkoneiden päästökertoimet (Suomen ympäristökeskuksen CO2data.fi-palvelu ja merikuljetuksissa EcoTransitIT-palvelu)
- työkonetuntimäärien oletusarvot (Rakennustiedon Ratu-kortisto)
- puhdistusmenetelmien laitteiden energiankäyttö (CO2data.fi)
- kemikaalit ja muut puhdistusmenetelmien aineet ja materiaalit (CO2data.fi ja valmistajien ympäristöselostetiedostot)
- erilaiset rakennusmateriaalit (CO2data.fi)
- polttoaineiden päästökertoimet (Tilastokeskuksen Polttoaineluokitus ja Suomen ilmastopaneelin Autokalkulaattori)
- henkilö- ja pakettiautojen päästökertoimet (Autokalkulaattori)
- sähkön ominaispäästökertoimet (Fingrid, Energiateollisuus ry ja Energiavirasto)</t>
  </si>
  <si>
    <t>Työkalun ulkopuolelle on jätetty:
- Hiilijalanjäljen näkökulmasta vähämerkityksellisiksi arvioidut päästölähteet, kuten laboratorioanalyysit sekä materiaalit, joiden määrät ovat hyvin pieniä
- Puhdistusmenetelmien kemiallisissa ja biologisissa prosesseissa syntyvät suorat ilmastopäästöt
- Kaikilta osin laskentatyökalussa ei ole voitu huomioida harvinaisia työvaiheita tai materiaaleja. Lisäksi ulkopuolelle on jätetty pumppausvesien käsittely kohteessa, koska se voidaan toteuttaa usealla eri tavalla
- Maankäytön ja maankäytön muutoksen ilmastovaikutukset eli hiilivarastojen ja -nielujen muutokset</t>
  </si>
  <si>
    <t>Kohdetiedot- ja yhteenveto -välilehden summalaskennassa ei ole huomioitu elinkaaren ulkopuolisia mahdollisia ilmastohyötyjä ja haittoja hiilijalanjäljen standardien ohjeiden mukaisesti (esim. EN 15804). Tällaisia nettomääräisiä ilmastohyötyjä saattaa syntyä esimerkiksi kaivetun maa-aineksen kohteen ulkopuolella tapahtuvasta hyödyntämisestä. Myös alueen kertakäyttöisten rakenteiden tai materiaalien jatkohyödyntämisestä voi syntyä positiivisia elinkaaren ulkopuolisia ilmastovaikutuksia. 
Laskentavälilehdillä joitain elinkaaren ulkopuolisia hyötyjä on kuitenkin käsitelty, ja näitä tuloksia voi halutessaan hyödyntää raportoinnissa.</t>
  </si>
  <si>
    <t xml:space="preserve">Päästökerroin hyötysuhde huomioiden </t>
  </si>
  <si>
    <t>Lisätiedot</t>
  </si>
  <si>
    <t>Viimeisellä välilehdellä sijaitsevat laskentavälilehtien pudotusvalikoissa käytetyt asiat. Välilehden valikkojen sisältö tulee pääosin päästökertoimien välilehdiltä, eikä niitä ole tarkoitus muokata. Välilehti on lukittu, mutta lukituksessa ei ole salasanaa.</t>
  </si>
  <si>
    <t>11.12.2024</t>
  </si>
  <si>
    <t>PIIP-laskentatyökalu on tehty Pirkanmaan ELY-keskuksen tilaaman kehityshankkeen yhteydessä. Sen tarkoituksena on mahdollistaa pilaantuneen maan ja pohjaveden puhdistuskohteen ominaisuuksiin ja puhdistustavoitteisiin sopivien puhdistusmenetelmien ilmastopäästöjen vertailu. Työkalu on tarkoitettu pilaantuneiden maa-alueiden kanssa työskentelevien asiantuntijoiden käyttöön esimerkiksi puhdistussuunnittelun yhteydessä tehtävän kestävyysarvioinnin tueksi sekä erilaisten puhdistusmenetelmien vertailuun. Työkalun käyttö vaatii jonkun verran tietämystä puhdistusmenetelmistä. Ilmastopäästöjen osalta riittää tietämys hiilijalanjäljen laskennan periaatteista.</t>
  </si>
  <si>
    <t>PIIP-laskentatyökalu pohjautuu Selvitys puhdistusmenetelmien ilmastovaikutuksista ja niiden vertailusta hankinnoissa -kehityshankkeen työkaluun, joka kehitettiin hankkeen case-kohteina olleiden pilaantuneiden maiden puhdistuskohteiden ilmastovaikutusten arviointiin. Alun perin toimivuus- ja ketteryysnäkökulmasta kehitetty työkalu nojautuu ympäristöministeriön rakennusten vähähiilisyyden arviointimenetelmään, joka perustuu Euroopan komission Level(s)-menetelmään. Tämä PIIP-laskentatyökalun versio ei ole täysin yhtenevä hiilijalanjäljen laskentastandardin ISO 14067 kanssa. Laskenta kattaa tällä hetkellä vain fossiiliset kasvihuonekaasupäästöt. Se jättää myös toistaiseksi huomioimatta eloperäisen hiilen tai maankäytön päästöt. Moduulin D elinkaaren ulkopuolelle jäävistä hyödyistä ja haitoista on laskurissa mukana ainoastaan jätteiden materiaalikierrätys.</t>
  </si>
  <si>
    <t>Työkalulla on mahdollista käsitellä useita erilaisia työvaiheita ja materiaaleja, joten käyttäjän on mahdollista huomioida tarkastelussa esimerkiksi pumppausvesien käsittely, jos käytettävien laitteiden ja materiaalien hiilidioksidiekvivalenttikertoimet ovat selvitettävissä. Kaikissa tapauksissa on tärkeää esittää perustelut tehdyille valinnoille sekä mahdollisesti käytettävien omien kertoimien lähteet.</t>
  </si>
  <si>
    <t>Lähtötiedot syötetään ensisijaisesti sarakkeiden B-G soluihin. Sarakkeissa K-L on mahdollisuus syöttää oma päästökerroin, jos sellainen on tiedossa. Sarakkeeseen O merkitään omat muistiinpanot, kuten perusteet lähtötietojen valinnalle. Laskenta tapahtuu sarakkeissa Q-&gt;, joita käyttäjän ei ole tarkoitus muokata.</t>
  </si>
  <si>
    <t>Korjattu kirjoitusvirheitä. Korjattu "Käsittelyssä käytettävien tuotteiden ja materiaalien kuljetukset alueelle" -kohdan kaavat siten, että taulukko laskee yhteistuloksen, vaikka kaikkia reittiosuuksia ei täytettäisi. Kiinnitetty laskentavälilehtien ylimmät rivit, jolloin laskentaa pystyy seuraamaan reaaliajassa.</t>
  </si>
  <si>
    <t>Versio 18.2.2025</t>
  </si>
  <si>
    <t>Kriittisen arvioinnin läpäissyt versio (ei julkaistu).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</si>
</sst>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0.00\ &quot;€&quot;;[Red]\-#,##0.00\ &quot;€&quot;"/>
    <numFmt numFmtId="43" formatCode="_-* #,##0.00_-;\-* #,##0.00_-;_-* &quot;-&quot;??_-;_-@_-"/>
    <numFmt numFmtId="164" formatCode="0.0"/>
    <numFmt numFmtId="165" formatCode="0.000"/>
    <numFmt numFmtId="166" formatCode="#,##0.000"/>
    <numFmt numFmtId="167" formatCode="0.0000"/>
    <numFmt numFmtId="168" formatCode="#,##0.0"/>
    <numFmt numFmtId="169" formatCode="mm\/yy"/>
  </numFmts>
  <fonts count="42" x14ac:knownFonts="1">
    <font>
      <sz val="11"/>
      <color theme="1"/>
      <name val="Arial"/>
      <family val="2"/>
      <scheme val="minor"/>
    </font>
    <font>
      <sz val="8"/>
      <name val="Arial"/>
      <family val="2"/>
      <scheme val="minor"/>
    </font>
    <font>
      <sz val="11"/>
      <color theme="1"/>
      <name val="Arial"/>
      <family val="2"/>
      <scheme val="minor"/>
    </font>
    <font>
      <b/>
      <sz val="11"/>
      <color theme="1"/>
      <name val="Arial"/>
      <family val="2"/>
      <scheme val="minor"/>
    </font>
    <font>
      <b/>
      <sz val="12"/>
      <color theme="1"/>
      <name val="Arial"/>
      <family val="2"/>
      <scheme val="minor"/>
    </font>
    <font>
      <vertAlign val="superscript"/>
      <sz val="11"/>
      <color theme="1"/>
      <name val="Arial"/>
      <family val="2"/>
      <scheme val="minor"/>
    </font>
    <font>
      <b/>
      <sz val="24"/>
      <color theme="1"/>
      <name val="Arial"/>
      <family val="2"/>
      <scheme val="minor"/>
    </font>
    <font>
      <u/>
      <sz val="11"/>
      <color theme="10"/>
      <name val="Arial"/>
      <family val="2"/>
      <scheme val="minor"/>
    </font>
    <font>
      <sz val="11"/>
      <color theme="0" tint="-0.499984740745262"/>
      <name val="Arial"/>
      <family val="2"/>
      <scheme val="minor"/>
    </font>
    <font>
      <sz val="24"/>
      <color theme="1"/>
      <name val="Arial"/>
      <family val="2"/>
      <scheme val="minor"/>
    </font>
    <font>
      <sz val="24"/>
      <color theme="0" tint="-0.499984740745262"/>
      <name val="Arial"/>
      <family val="2"/>
      <scheme val="minor"/>
    </font>
    <font>
      <b/>
      <sz val="14"/>
      <color theme="1"/>
      <name val="Arial"/>
      <family val="2"/>
      <scheme val="minor"/>
    </font>
    <font>
      <sz val="12"/>
      <color theme="1"/>
      <name val="Arial"/>
      <family val="2"/>
      <scheme val="minor"/>
    </font>
    <font>
      <sz val="12"/>
      <color theme="0" tint="-0.499984740745262"/>
      <name val="Arial"/>
      <family val="2"/>
      <scheme val="minor"/>
    </font>
    <font>
      <sz val="12"/>
      <color theme="0" tint="-0.499984740745262"/>
      <name val="Wingdings 3"/>
      <family val="1"/>
      <charset val="2"/>
    </font>
    <font>
      <i/>
      <sz val="12"/>
      <color theme="0" tint="-0.499984740745262"/>
      <name val="Arial"/>
      <family val="2"/>
      <scheme val="minor"/>
    </font>
    <font>
      <i/>
      <sz val="12"/>
      <color theme="1"/>
      <name val="Arial"/>
      <family val="2"/>
      <scheme val="minor"/>
    </font>
    <font>
      <sz val="12"/>
      <color theme="0"/>
      <name val="Arial"/>
      <family val="2"/>
      <scheme val="minor"/>
    </font>
    <font>
      <sz val="12"/>
      <color theme="0" tint="-0.249977111117893"/>
      <name val="Arial"/>
      <family val="2"/>
      <scheme val="minor"/>
    </font>
    <font>
      <b/>
      <sz val="11"/>
      <name val="Arial"/>
      <family val="2"/>
      <scheme val="minor"/>
    </font>
    <font>
      <sz val="11"/>
      <name val="Arial"/>
      <family val="2"/>
      <scheme val="minor"/>
    </font>
    <font>
      <u/>
      <sz val="12"/>
      <color theme="10"/>
      <name val="Arial"/>
      <family val="2"/>
      <scheme val="minor"/>
    </font>
    <font>
      <sz val="18"/>
      <color theme="1"/>
      <name val="Arial"/>
      <family val="2"/>
      <scheme val="minor"/>
    </font>
    <font>
      <b/>
      <sz val="18"/>
      <color theme="1"/>
      <name val="Arial"/>
      <family val="2"/>
      <scheme val="minor"/>
    </font>
    <font>
      <sz val="18"/>
      <color theme="0" tint="-0.499984740745262"/>
      <name val="Arial"/>
      <family val="2"/>
      <scheme val="minor"/>
    </font>
    <font>
      <i/>
      <sz val="11"/>
      <color theme="1"/>
      <name val="Arial"/>
      <family val="2"/>
      <scheme val="minor"/>
    </font>
    <font>
      <i/>
      <sz val="24"/>
      <color theme="1"/>
      <name val="Arial"/>
      <family val="2"/>
      <scheme val="minor"/>
    </font>
    <font>
      <i/>
      <sz val="18"/>
      <color theme="1"/>
      <name val="Arial"/>
      <family val="2"/>
      <scheme val="minor"/>
    </font>
    <font>
      <vertAlign val="superscript"/>
      <sz val="12"/>
      <color theme="1"/>
      <name val="Arial"/>
      <family val="2"/>
      <scheme val="minor"/>
    </font>
    <font>
      <sz val="9"/>
      <color indexed="81"/>
      <name val="Tahoma"/>
      <family val="2"/>
    </font>
    <font>
      <b/>
      <sz val="11"/>
      <color theme="0" tint="-0.499984740745262"/>
      <name val="Arial"/>
      <family val="2"/>
      <scheme val="minor"/>
    </font>
    <font>
      <sz val="12"/>
      <name val="Arial"/>
      <family val="2"/>
      <scheme val="minor"/>
    </font>
    <font>
      <sz val="14"/>
      <color theme="1"/>
      <name val="Arial"/>
      <family val="2"/>
      <scheme val="minor"/>
    </font>
    <font>
      <i/>
      <sz val="14"/>
      <color theme="1"/>
      <name val="Arial"/>
      <family val="2"/>
      <scheme val="minor"/>
    </font>
    <font>
      <sz val="14"/>
      <color theme="0" tint="-0.499984740745262"/>
      <name val="Arial"/>
      <family val="2"/>
      <scheme val="minor"/>
    </font>
    <font>
      <b/>
      <sz val="12"/>
      <color theme="0" tint="-0.499984740745262"/>
      <name val="Arial"/>
      <family val="2"/>
      <scheme val="minor"/>
    </font>
    <font>
      <b/>
      <sz val="16"/>
      <color theme="1"/>
      <name val="Arial"/>
      <family val="2"/>
      <scheme val="minor"/>
    </font>
    <font>
      <sz val="16"/>
      <color theme="1"/>
      <name val="Arial"/>
      <family val="2"/>
      <scheme val="minor"/>
    </font>
    <font>
      <i/>
      <sz val="16"/>
      <color theme="1"/>
      <name val="Arial"/>
      <family val="2"/>
      <scheme val="minor"/>
    </font>
    <font>
      <sz val="16"/>
      <color theme="0" tint="-0.499984740745262"/>
      <name val="Arial"/>
      <family val="2"/>
      <scheme val="minor"/>
    </font>
    <font>
      <sz val="11"/>
      <color theme="1"/>
      <name val="Arial"/>
      <family val="2"/>
    </font>
    <font>
      <sz val="11"/>
      <color theme="1"/>
      <name val="Aptos Narrow"/>
      <family val="2"/>
    </font>
  </fonts>
  <fills count="14">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2"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BDEEFF"/>
        <bgColor indexed="64"/>
      </patternFill>
    </fill>
    <fill>
      <patternFill patternType="solid">
        <fgColor theme="0"/>
        <bgColor indexed="64"/>
      </patternFill>
    </fill>
    <fill>
      <patternFill patternType="solid">
        <fgColor theme="3"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Dashed">
        <color auto="1"/>
      </left>
      <right/>
      <top/>
      <bottom/>
      <diagonal/>
    </border>
    <border>
      <left style="thin">
        <color indexed="64"/>
      </left>
      <right/>
      <top/>
      <bottom style="thin">
        <color indexed="64"/>
      </bottom>
      <diagonal/>
    </border>
    <border>
      <left/>
      <right style="mediumDashed">
        <color auto="1"/>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Dashed">
        <color theme="0" tint="-0.499984740745262"/>
      </left>
      <right style="mediumDashed">
        <color theme="0" tint="-0.499984740745262"/>
      </right>
      <top style="mediumDashed">
        <color theme="0" tint="-0.499984740745262"/>
      </top>
      <bottom style="mediumDashed">
        <color theme="0" tint="-0.499984740745262"/>
      </bottom>
      <diagonal/>
    </border>
    <border>
      <left style="thin">
        <color indexed="64"/>
      </left>
      <right/>
      <top style="thin">
        <color indexed="64"/>
      </top>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cellStyleXfs>
  <cellXfs count="484">
    <xf numFmtId="0" fontId="0" fillId="0" borderId="0" xfId="0"/>
    <xf numFmtId="0" fontId="0" fillId="0" borderId="0" xfId="0" applyAlignment="1">
      <alignment horizontal="right"/>
    </xf>
    <xf numFmtId="0" fontId="0" fillId="0" borderId="0" xfId="0" applyAlignment="1">
      <alignment horizontal="right" wrapText="1"/>
    </xf>
    <xf numFmtId="0" fontId="3" fillId="0" borderId="0" xfId="0" applyFont="1"/>
    <xf numFmtId="0" fontId="4" fillId="0" borderId="0" xfId="0" applyFont="1" applyAlignment="1">
      <alignment horizontal="right"/>
    </xf>
    <xf numFmtId="0" fontId="0" fillId="0" borderId="0" xfId="0" applyAlignment="1">
      <alignment vertical="center"/>
    </xf>
    <xf numFmtId="0" fontId="0" fillId="0" borderId="0" xfId="0" applyAlignment="1">
      <alignment horizontal="centerContinuous"/>
    </xf>
    <xf numFmtId="0" fontId="6" fillId="0" borderId="0" xfId="0" applyFont="1" applyAlignment="1">
      <alignment vertical="center"/>
    </xf>
    <xf numFmtId="0" fontId="4" fillId="0" borderId="0" xfId="0" applyFont="1" applyAlignment="1">
      <alignment vertical="center"/>
    </xf>
    <xf numFmtId="0" fontId="7" fillId="0" borderId="0" xfId="3"/>
    <xf numFmtId="0" fontId="0" fillId="5" borderId="0" xfId="0" applyFill="1"/>
    <xf numFmtId="0" fontId="3" fillId="5" borderId="0" xfId="0" applyFont="1" applyFill="1"/>
    <xf numFmtId="0" fontId="0" fillId="0" borderId="0" xfId="0" applyAlignment="1">
      <alignment horizontal="center" vertical="center"/>
    </xf>
    <xf numFmtId="0" fontId="0" fillId="0" borderId="0" xfId="0" applyAlignment="1">
      <alignment horizontal="left" vertical="top"/>
    </xf>
    <xf numFmtId="0" fontId="0" fillId="0" borderId="0" xfId="0" applyAlignment="1">
      <alignment horizontal="right" vertical="center"/>
    </xf>
    <xf numFmtId="0" fontId="0" fillId="0" borderId="0" xfId="0" applyAlignment="1">
      <alignment vertical="top"/>
    </xf>
    <xf numFmtId="0" fontId="0" fillId="0" borderId="0" xfId="0" applyAlignment="1">
      <alignment horizontal="center" vertical="top"/>
    </xf>
    <xf numFmtId="0" fontId="0" fillId="0" borderId="0" xfId="0" applyAlignment="1">
      <alignment horizontal="center" vertical="top" wrapText="1"/>
    </xf>
    <xf numFmtId="0" fontId="0" fillId="0" borderId="0" xfId="0" applyAlignment="1">
      <alignment horizontal="right" vertical="top" wrapText="1"/>
    </xf>
    <xf numFmtId="0" fontId="7" fillId="0" borderId="0" xfId="3" applyAlignment="1">
      <alignment horizontal="left" vertical="top"/>
    </xf>
    <xf numFmtId="165" fontId="0" fillId="0" borderId="0" xfId="0" applyNumberFormat="1" applyAlignment="1">
      <alignment horizontal="center" vertical="top"/>
    </xf>
    <xf numFmtId="0" fontId="8" fillId="5" borderId="0" xfId="0" applyFont="1" applyFill="1" applyAlignment="1">
      <alignment horizontal="center" vertical="center"/>
    </xf>
    <xf numFmtId="0" fontId="8" fillId="5" borderId="0" xfId="0" applyFont="1" applyFill="1" applyAlignment="1">
      <alignment vertical="center"/>
    </xf>
    <xf numFmtId="0" fontId="8" fillId="5" borderId="11" xfId="0" applyFont="1" applyFill="1" applyBorder="1" applyAlignment="1">
      <alignment vertical="center"/>
    </xf>
    <xf numFmtId="0" fontId="9" fillId="0" borderId="0" xfId="0" applyFont="1" applyAlignme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10" fillId="5" borderId="11" xfId="0" applyFont="1" applyFill="1" applyBorder="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12" fillId="0" borderId="0" xfId="0" applyFont="1" applyAlignment="1">
      <alignment vertical="center"/>
    </xf>
    <xf numFmtId="0" fontId="12" fillId="0" borderId="0" xfId="0" applyFont="1"/>
    <xf numFmtId="0" fontId="12" fillId="0" borderId="0" xfId="0" applyFont="1" applyAlignment="1">
      <alignment horizontal="right" vertical="center"/>
    </xf>
    <xf numFmtId="0" fontId="12" fillId="0" borderId="0" xfId="0" applyFont="1" applyAlignment="1">
      <alignment horizontal="center" vertical="center"/>
    </xf>
    <xf numFmtId="0" fontId="13" fillId="5" borderId="11" xfId="0" applyFont="1" applyFill="1" applyBorder="1" applyAlignment="1">
      <alignment vertical="center"/>
    </xf>
    <xf numFmtId="0" fontId="13" fillId="5" borderId="0" xfId="0" applyFont="1" applyFill="1" applyAlignment="1">
      <alignment horizontal="center" vertical="center"/>
    </xf>
    <xf numFmtId="0" fontId="13" fillId="5" borderId="0" xfId="0" applyFont="1" applyFill="1" applyAlignment="1">
      <alignment vertical="center"/>
    </xf>
    <xf numFmtId="0" fontId="12" fillId="0" borderId="0" xfId="0" applyFont="1" applyAlignment="1">
      <alignment horizontal="center" vertical="center" wrapText="1"/>
    </xf>
    <xf numFmtId="0" fontId="12" fillId="0" borderId="0" xfId="0" applyFont="1" applyAlignment="1">
      <alignment horizontal="left" indent="1"/>
    </xf>
    <xf numFmtId="165" fontId="12" fillId="2" borderId="1" xfId="0" applyNumberFormat="1" applyFont="1" applyFill="1" applyBorder="1" applyAlignment="1">
      <alignment horizontal="center" vertical="center"/>
    </xf>
    <xf numFmtId="165" fontId="12" fillId="0" borderId="0" xfId="0" applyNumberFormat="1" applyFont="1" applyAlignment="1">
      <alignment horizontal="left" vertical="center"/>
    </xf>
    <xf numFmtId="165" fontId="12" fillId="0" borderId="0" xfId="0" applyNumberFormat="1" applyFont="1" applyAlignment="1">
      <alignment horizontal="center" vertical="center"/>
    </xf>
    <xf numFmtId="9" fontId="13" fillId="5" borderId="0" xfId="2" applyFont="1" applyFill="1" applyAlignment="1">
      <alignment horizontal="center" vertical="center"/>
    </xf>
    <xf numFmtId="0" fontId="13" fillId="5" borderId="0" xfId="0" applyFont="1" applyFill="1" applyAlignment="1">
      <alignment horizontal="center" vertical="center" wrapText="1"/>
    </xf>
    <xf numFmtId="0" fontId="12" fillId="0" borderId="0" xfId="0" applyFont="1" applyAlignment="1">
      <alignment horizontal="left" vertical="center" indent="2"/>
    </xf>
    <xf numFmtId="3" fontId="13" fillId="5" borderId="11" xfId="0" applyNumberFormat="1" applyFont="1" applyFill="1" applyBorder="1" applyAlignment="1">
      <alignment horizontal="right" vertical="center" indent="1"/>
    </xf>
    <xf numFmtId="0" fontId="13" fillId="5" borderId="1" xfId="0" applyFont="1" applyFill="1" applyBorder="1" applyAlignment="1">
      <alignment horizontal="center" vertical="center"/>
    </xf>
    <xf numFmtId="9" fontId="13" fillId="5" borderId="1" xfId="2" applyFont="1" applyFill="1" applyBorder="1" applyAlignment="1">
      <alignment horizontal="center" vertical="center"/>
    </xf>
    <xf numFmtId="3" fontId="13" fillId="5" borderId="1" xfId="0" applyNumberFormat="1" applyFont="1" applyFill="1" applyBorder="1" applyAlignment="1">
      <alignment horizontal="center" vertical="center"/>
    </xf>
    <xf numFmtId="166" fontId="13" fillId="5" borderId="1" xfId="0" applyNumberFormat="1" applyFont="1" applyFill="1" applyBorder="1" applyAlignment="1">
      <alignment horizontal="center" vertical="center"/>
    </xf>
    <xf numFmtId="0" fontId="13" fillId="5" borderId="11" xfId="0" applyFont="1" applyFill="1" applyBorder="1" applyAlignment="1">
      <alignment horizontal="right" vertical="center" indent="1"/>
    </xf>
    <xf numFmtId="0" fontId="12" fillId="0" borderId="0" xfId="0" applyFont="1" applyAlignment="1">
      <alignment horizontal="right" vertical="center" indent="1"/>
    </xf>
    <xf numFmtId="0" fontId="12" fillId="0" borderId="0" xfId="0" applyFont="1" applyAlignment="1">
      <alignment horizontal="left" vertical="center" indent="1"/>
    </xf>
    <xf numFmtId="0" fontId="13" fillId="0" borderId="0" xfId="0" applyFont="1" applyAlignment="1">
      <alignment horizontal="center" vertical="center"/>
    </xf>
    <xf numFmtId="0" fontId="13" fillId="0" borderId="0" xfId="0" applyFont="1" applyAlignment="1">
      <alignment vertical="center"/>
    </xf>
    <xf numFmtId="0" fontId="12" fillId="0" borderId="10" xfId="0" applyFont="1" applyBorder="1" applyAlignment="1">
      <alignment vertical="center"/>
    </xf>
    <xf numFmtId="0" fontId="12" fillId="0" borderId="0" xfId="0" quotePrefix="1" applyFont="1" applyAlignment="1">
      <alignment vertical="center"/>
    </xf>
    <xf numFmtId="0" fontId="14" fillId="0" borderId="0" xfId="0" applyFont="1" applyAlignment="1">
      <alignment horizontal="left" vertical="center"/>
    </xf>
    <xf numFmtId="2" fontId="12" fillId="0" borderId="0" xfId="0" applyNumberFormat="1" applyFont="1" applyAlignment="1">
      <alignment horizontal="center" vertical="center"/>
    </xf>
    <xf numFmtId="3" fontId="13" fillId="5" borderId="0" xfId="0" applyNumberFormat="1" applyFont="1" applyFill="1" applyAlignment="1">
      <alignment horizontal="center" vertical="center"/>
    </xf>
    <xf numFmtId="2" fontId="13" fillId="5" borderId="0" xfId="0" applyNumberFormat="1" applyFont="1" applyFill="1" applyAlignment="1">
      <alignment horizontal="center" vertical="center"/>
    </xf>
    <xf numFmtId="2" fontId="12" fillId="2" borderId="1" xfId="0" applyNumberFormat="1" applyFont="1" applyFill="1" applyBorder="1" applyAlignment="1">
      <alignment horizontal="center" vertical="center"/>
    </xf>
    <xf numFmtId="2" fontId="13" fillId="5" borderId="1" xfId="0" applyNumberFormat="1" applyFont="1" applyFill="1" applyBorder="1" applyAlignment="1">
      <alignment horizontal="center" vertical="center"/>
    </xf>
    <xf numFmtId="164" fontId="12" fillId="0" borderId="0" xfId="1" applyNumberFormat="1" applyFont="1" applyFill="1" applyBorder="1" applyAlignment="1">
      <alignment horizontal="centerContinuous" vertical="center"/>
    </xf>
    <xf numFmtId="0" fontId="12" fillId="2" borderId="1" xfId="0" applyFont="1" applyFill="1" applyBorder="1" applyAlignment="1">
      <alignment horizontal="center" vertical="center"/>
    </xf>
    <xf numFmtId="164" fontId="12" fillId="2" borderId="1" xfId="0" applyNumberFormat="1" applyFont="1" applyFill="1" applyBorder="1" applyAlignment="1">
      <alignment horizontal="center" vertical="center"/>
    </xf>
    <xf numFmtId="3" fontId="12" fillId="0" borderId="3" xfId="0" applyNumberFormat="1" applyFont="1" applyBorder="1" applyAlignment="1">
      <alignment horizontal="center" vertical="center"/>
    </xf>
    <xf numFmtId="0" fontId="12" fillId="0" borderId="13" xfId="0" applyFont="1" applyBorder="1" applyAlignment="1">
      <alignment vertical="center"/>
    </xf>
    <xf numFmtId="0" fontId="15" fillId="0" borderId="0" xfId="0" applyFont="1" applyAlignment="1">
      <alignment horizontal="left" vertical="center" indent="1"/>
    </xf>
    <xf numFmtId="0" fontId="15" fillId="0" borderId="0" xfId="0" applyFont="1" applyAlignment="1">
      <alignment vertical="center"/>
    </xf>
    <xf numFmtId="3" fontId="12" fillId="0" borderId="0" xfId="0" applyNumberFormat="1" applyFont="1" applyAlignment="1">
      <alignment horizontal="center" vertical="center"/>
    </xf>
    <xf numFmtId="3" fontId="12" fillId="2" borderId="1" xfId="0" applyNumberFormat="1" applyFont="1" applyFill="1" applyBorder="1" applyAlignment="1">
      <alignment horizontal="center" vertical="center"/>
    </xf>
    <xf numFmtId="1" fontId="13" fillId="5" borderId="1" xfId="0" applyNumberFormat="1" applyFont="1" applyFill="1" applyBorder="1" applyAlignment="1">
      <alignment horizontal="center" vertical="center"/>
    </xf>
    <xf numFmtId="0" fontId="16" fillId="0" borderId="0" xfId="0" applyFont="1" applyAlignment="1">
      <alignment vertical="center"/>
    </xf>
    <xf numFmtId="0" fontId="15" fillId="0" borderId="0" xfId="0" applyFont="1" applyAlignment="1">
      <alignment horizontal="left" vertical="center"/>
    </xf>
    <xf numFmtId="167" fontId="12" fillId="0" borderId="0" xfId="0" applyNumberFormat="1" applyFont="1" applyAlignment="1">
      <alignment horizontal="left" vertical="center"/>
    </xf>
    <xf numFmtId="0" fontId="12" fillId="0" borderId="0" xfId="0" applyFont="1" applyAlignment="1">
      <alignment horizontal="left" vertical="center" wrapText="1" indent="1"/>
    </xf>
    <xf numFmtId="0" fontId="16" fillId="0" borderId="0" xfId="0" applyFont="1" applyAlignment="1">
      <alignment horizontal="center" vertical="center"/>
    </xf>
    <xf numFmtId="164" fontId="12" fillId="0" borderId="0" xfId="1" applyNumberFormat="1" applyFont="1" applyFill="1" applyBorder="1" applyAlignment="1">
      <alignment horizontal="center" vertical="center"/>
    </xf>
    <xf numFmtId="0" fontId="12" fillId="0" borderId="0" xfId="0" applyFont="1" applyAlignment="1">
      <alignment vertical="center" wrapText="1"/>
    </xf>
    <xf numFmtId="0" fontId="17" fillId="0" borderId="0" xfId="0" applyFont="1" applyAlignment="1">
      <alignment horizontal="center" vertical="center"/>
    </xf>
    <xf numFmtId="0" fontId="12" fillId="0" borderId="0" xfId="0" applyFont="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wrapText="1"/>
    </xf>
    <xf numFmtId="0" fontId="0" fillId="0" borderId="0" xfId="0" applyAlignment="1">
      <alignment horizontal="left" vertical="center"/>
    </xf>
    <xf numFmtId="0" fontId="12" fillId="0" borderId="0" xfId="0" applyFont="1" applyAlignment="1">
      <alignment horizontal="left"/>
    </xf>
    <xf numFmtId="0" fontId="12" fillId="2" borderId="1" xfId="0" applyFont="1" applyFill="1" applyBorder="1" applyAlignment="1">
      <alignment horizontal="left" vertical="center"/>
    </xf>
    <xf numFmtId="0" fontId="12" fillId="0" borderId="0" xfId="0" quotePrefix="1" applyFont="1" applyAlignment="1">
      <alignment horizontal="left" vertical="center"/>
    </xf>
    <xf numFmtId="0" fontId="12" fillId="2" borderId="8" xfId="0" applyFont="1" applyFill="1" applyBorder="1" applyAlignment="1">
      <alignment horizontal="left" vertical="center"/>
    </xf>
    <xf numFmtId="0" fontId="12" fillId="2" borderId="6" xfId="0" applyFont="1" applyFill="1" applyBorder="1" applyAlignment="1">
      <alignment horizontal="left" vertical="center"/>
    </xf>
    <xf numFmtId="0" fontId="12" fillId="6" borderId="1" xfId="0" applyFont="1" applyFill="1" applyBorder="1" applyAlignment="1">
      <alignment horizontal="left" vertical="center"/>
    </xf>
    <xf numFmtId="0" fontId="4" fillId="0" borderId="0" xfId="0" applyFont="1" applyAlignment="1">
      <alignment horizontal="left" vertical="center" indent="1"/>
    </xf>
    <xf numFmtId="165" fontId="12" fillId="0" borderId="1" xfId="0" applyNumberFormat="1" applyFont="1" applyBorder="1" applyAlignment="1">
      <alignment horizontal="center" vertical="center"/>
    </xf>
    <xf numFmtId="0" fontId="15" fillId="7" borderId="1" xfId="0" applyFont="1" applyFill="1" applyBorder="1" applyAlignment="1">
      <alignment horizontal="center" vertical="center"/>
    </xf>
    <xf numFmtId="0" fontId="12" fillId="5" borderId="0" xfId="0" applyFont="1" applyFill="1" applyAlignment="1">
      <alignment horizontal="center" vertical="center"/>
    </xf>
    <xf numFmtId="3" fontId="12" fillId="5" borderId="0" xfId="0" applyNumberFormat="1" applyFont="1" applyFill="1" applyAlignment="1">
      <alignment horizontal="center" vertical="center"/>
    </xf>
    <xf numFmtId="0" fontId="12" fillId="2" borderId="0" xfId="0" applyFont="1" applyFill="1" applyAlignment="1">
      <alignment horizontal="left" vertical="center"/>
    </xf>
    <xf numFmtId="0" fontId="13" fillId="0" borderId="0" xfId="0" applyFont="1" applyAlignment="1">
      <alignment horizontal="left" vertical="center"/>
    </xf>
    <xf numFmtId="0" fontId="13" fillId="5" borderId="0" xfId="0" applyFont="1" applyFill="1" applyAlignment="1">
      <alignment horizontal="left" vertical="center"/>
    </xf>
    <xf numFmtId="0" fontId="8" fillId="5" borderId="0" xfId="0" applyFont="1" applyFill="1" applyAlignment="1">
      <alignment horizontal="left" vertical="center"/>
    </xf>
    <xf numFmtId="3" fontId="13" fillId="5" borderId="0" xfId="0" applyNumberFormat="1" applyFont="1" applyFill="1" applyAlignment="1">
      <alignment horizontal="right" vertical="center" indent="1"/>
    </xf>
    <xf numFmtId="0" fontId="13" fillId="5" borderId="0" xfId="0" applyFont="1" applyFill="1" applyAlignment="1">
      <alignment horizontal="right" vertical="center" indent="1"/>
    </xf>
    <xf numFmtId="3" fontId="12" fillId="5" borderId="0" xfId="0" applyNumberFormat="1" applyFont="1" applyFill="1" applyAlignment="1">
      <alignment horizontal="center" vertical="center" wrapText="1"/>
    </xf>
    <xf numFmtId="3" fontId="12" fillId="5" borderId="14" xfId="0" applyNumberFormat="1" applyFont="1" applyFill="1" applyBorder="1" applyAlignment="1">
      <alignment horizontal="center" vertical="center"/>
    </xf>
    <xf numFmtId="0" fontId="12" fillId="5" borderId="0" xfId="0" applyFont="1" applyFill="1" applyAlignment="1">
      <alignment vertical="center"/>
    </xf>
    <xf numFmtId="3" fontId="13" fillId="5" borderId="14" xfId="0" applyNumberFormat="1" applyFont="1" applyFill="1" applyBorder="1" applyAlignment="1">
      <alignment horizontal="center" vertical="center"/>
    </xf>
    <xf numFmtId="2" fontId="12" fillId="0" borderId="1" xfId="0" applyNumberFormat="1" applyFont="1" applyBorder="1" applyAlignment="1">
      <alignment horizontal="center" vertical="center"/>
    </xf>
    <xf numFmtId="3" fontId="18" fillId="5" borderId="0" xfId="0" applyNumberFormat="1" applyFont="1" applyFill="1" applyAlignment="1">
      <alignment horizontal="center" vertical="center"/>
    </xf>
    <xf numFmtId="164" fontId="12" fillId="0" borderId="1" xfId="0" applyNumberFormat="1" applyFont="1" applyBorder="1" applyAlignment="1">
      <alignment horizontal="center" vertical="center"/>
    </xf>
    <xf numFmtId="164" fontId="12" fillId="0" borderId="5" xfId="0" applyNumberFormat="1" applyFont="1" applyBorder="1" applyAlignment="1">
      <alignment horizontal="left" vertical="center"/>
    </xf>
    <xf numFmtId="0" fontId="19" fillId="5" borderId="0" xfId="0" applyFont="1" applyFill="1"/>
    <xf numFmtId="0" fontId="20" fillId="5" borderId="0" xfId="0" applyFont="1" applyFill="1"/>
    <xf numFmtId="0" fontId="12" fillId="0" borderId="0" xfId="0" applyFont="1" applyAlignment="1">
      <alignment vertical="top"/>
    </xf>
    <xf numFmtId="0" fontId="12" fillId="4" borderId="0" xfId="0" applyFont="1" applyFill="1" applyAlignment="1">
      <alignment vertical="top"/>
    </xf>
    <xf numFmtId="0" fontId="12" fillId="0" borderId="0" xfId="0" quotePrefix="1" applyFont="1" applyAlignment="1">
      <alignment vertical="top"/>
    </xf>
    <xf numFmtId="2" fontId="12" fillId="4" borderId="0" xfId="0" applyNumberFormat="1" applyFont="1" applyFill="1" applyAlignment="1">
      <alignment vertical="top"/>
    </xf>
    <xf numFmtId="0" fontId="21" fillId="0" borderId="0" xfId="3" applyFont="1" applyAlignment="1">
      <alignment vertical="top"/>
    </xf>
    <xf numFmtId="3" fontId="12" fillId="4" borderId="0" xfId="0" applyNumberFormat="1" applyFont="1" applyFill="1" applyAlignment="1">
      <alignment vertical="top"/>
    </xf>
    <xf numFmtId="1" fontId="12" fillId="4" borderId="0" xfId="0" applyNumberFormat="1" applyFont="1" applyFill="1" applyAlignment="1">
      <alignment vertical="top"/>
    </xf>
    <xf numFmtId="165" fontId="12" fillId="4" borderId="0" xfId="0" applyNumberFormat="1" applyFont="1" applyFill="1" applyAlignment="1">
      <alignment vertical="top"/>
    </xf>
    <xf numFmtId="9" fontId="12" fillId="4" borderId="0" xfId="0" applyNumberFormat="1" applyFont="1" applyFill="1" applyAlignment="1">
      <alignment vertical="top"/>
    </xf>
    <xf numFmtId="9" fontId="12" fillId="0" borderId="0" xfId="0" applyNumberFormat="1" applyFont="1" applyAlignment="1">
      <alignment vertical="top"/>
    </xf>
    <xf numFmtId="2" fontId="12" fillId="0" borderId="0" xfId="0" applyNumberFormat="1" applyFont="1" applyAlignment="1">
      <alignment vertical="top"/>
    </xf>
    <xf numFmtId="165" fontId="12" fillId="0" borderId="0" xfId="0" applyNumberFormat="1" applyFont="1" applyAlignment="1">
      <alignment vertical="top"/>
    </xf>
    <xf numFmtId="0" fontId="21" fillId="0" borderId="0" xfId="3" applyFont="1" applyFill="1" applyAlignment="1">
      <alignment vertical="top"/>
    </xf>
    <xf numFmtId="164" fontId="12" fillId="4" borderId="0" xfId="0" applyNumberFormat="1" applyFont="1" applyFill="1" applyAlignment="1">
      <alignment vertical="top"/>
    </xf>
    <xf numFmtId="0" fontId="12" fillId="0" borderId="0" xfId="0" applyFont="1" applyAlignment="1">
      <alignment vertical="top" wrapText="1"/>
    </xf>
    <xf numFmtId="0" fontId="13" fillId="5" borderId="9" xfId="0" applyFont="1" applyFill="1" applyBorder="1" applyAlignment="1">
      <alignment horizontal="center" vertical="center"/>
    </xf>
    <xf numFmtId="0" fontId="13" fillId="5" borderId="15" xfId="0" applyFont="1" applyFill="1" applyBorder="1" applyAlignment="1">
      <alignment horizontal="center" vertical="center"/>
    </xf>
    <xf numFmtId="0" fontId="12" fillId="5" borderId="11" xfId="0" applyFont="1" applyFill="1" applyBorder="1" applyAlignment="1">
      <alignment vertical="center"/>
    </xf>
    <xf numFmtId="164" fontId="12" fillId="0" borderId="0" xfId="0" applyNumberFormat="1" applyFont="1" applyAlignment="1">
      <alignment horizontal="center" vertical="center" wrapText="1"/>
    </xf>
    <xf numFmtId="0" fontId="15" fillId="5" borderId="0" xfId="0" applyFont="1" applyFill="1" applyAlignment="1">
      <alignment horizontal="left" vertical="center"/>
    </xf>
    <xf numFmtId="0" fontId="12" fillId="2" borderId="1" xfId="0" applyFont="1" applyFill="1" applyBorder="1" applyAlignment="1">
      <alignment horizontal="left" vertical="center" indent="2"/>
    </xf>
    <xf numFmtId="0" fontId="12" fillId="5" borderId="0" xfId="0" applyFont="1" applyFill="1" applyAlignment="1">
      <alignment horizontal="left" vertical="center"/>
    </xf>
    <xf numFmtId="1" fontId="12" fillId="0" borderId="1" xfId="0" applyNumberFormat="1" applyFont="1" applyBorder="1" applyAlignment="1">
      <alignment horizontal="center" vertical="center"/>
    </xf>
    <xf numFmtId="0" fontId="9" fillId="5" borderId="11" xfId="0" applyFont="1" applyFill="1" applyBorder="1" applyAlignment="1">
      <alignment vertical="center"/>
    </xf>
    <xf numFmtId="0" fontId="9" fillId="5" borderId="0" xfId="0" applyFont="1" applyFill="1" applyAlignment="1">
      <alignment horizontal="center" vertical="center"/>
    </xf>
    <xf numFmtId="0" fontId="9" fillId="5" borderId="0" xfId="0" applyFont="1" applyFill="1" applyAlignment="1">
      <alignment vertical="center"/>
    </xf>
    <xf numFmtId="0" fontId="0" fillId="5" borderId="11" xfId="0" applyFill="1" applyBorder="1" applyAlignment="1">
      <alignment vertical="center"/>
    </xf>
    <xf numFmtId="0" fontId="0" fillId="5" borderId="0" xfId="0" applyFill="1" applyAlignment="1">
      <alignment horizontal="center" vertical="center"/>
    </xf>
    <xf numFmtId="0" fontId="0" fillId="5" borderId="0" xfId="0" applyFill="1" applyAlignment="1">
      <alignment vertical="center"/>
    </xf>
    <xf numFmtId="3" fontId="4" fillId="5" borderId="0" xfId="0" applyNumberFormat="1" applyFont="1" applyFill="1" applyAlignment="1">
      <alignment horizontal="center" vertical="center"/>
    </xf>
    <xf numFmtId="0" fontId="9" fillId="0" borderId="13" xfId="0" applyFont="1" applyBorder="1" applyAlignment="1">
      <alignment vertical="center"/>
    </xf>
    <xf numFmtId="0" fontId="12" fillId="0" borderId="13" xfId="0" applyFont="1" applyBorder="1" applyAlignment="1">
      <alignment horizontal="center" vertical="center"/>
    </xf>
    <xf numFmtId="0" fontId="12" fillId="0" borderId="13" xfId="0" applyFont="1" applyBorder="1" applyAlignment="1">
      <alignment horizontal="center" vertical="center" wrapText="1"/>
    </xf>
    <xf numFmtId="165" fontId="12" fillId="0" borderId="13" xfId="0" applyNumberFormat="1" applyFont="1" applyBorder="1" applyAlignment="1">
      <alignment horizontal="center" vertical="center"/>
    </xf>
    <xf numFmtId="0" fontId="12" fillId="0" borderId="13" xfId="0" applyFont="1" applyBorder="1" applyAlignment="1">
      <alignment horizontal="right" vertical="center"/>
    </xf>
    <xf numFmtId="2" fontId="12" fillId="0" borderId="13" xfId="0" applyNumberFormat="1" applyFont="1" applyBorder="1" applyAlignment="1">
      <alignment horizontal="center" vertical="center"/>
    </xf>
    <xf numFmtId="0" fontId="0" fillId="0" borderId="13" xfId="0" applyBorder="1" applyAlignment="1">
      <alignment vertical="center"/>
    </xf>
    <xf numFmtId="3" fontId="15" fillId="7" borderId="1" xfId="0" applyNumberFormat="1" applyFont="1" applyFill="1" applyBorder="1" applyAlignment="1">
      <alignment horizontal="center" vertical="center"/>
    </xf>
    <xf numFmtId="9" fontId="12" fillId="4" borderId="1" xfId="2" applyFont="1" applyFill="1" applyBorder="1" applyAlignment="1">
      <alignment horizontal="center" vertical="center"/>
    </xf>
    <xf numFmtId="0" fontId="12" fillId="4" borderId="1" xfId="0" applyFont="1" applyFill="1" applyBorder="1" applyAlignment="1">
      <alignment horizontal="left" vertical="center" indent="1"/>
    </xf>
    <xf numFmtId="3" fontId="12" fillId="4" borderId="1" xfId="0" applyNumberFormat="1" applyFont="1" applyFill="1" applyBorder="1" applyAlignment="1">
      <alignment horizontal="center" vertical="center"/>
    </xf>
    <xf numFmtId="1" fontId="12" fillId="4" borderId="1" xfId="0" applyNumberFormat="1" applyFont="1" applyFill="1" applyBorder="1" applyAlignment="1">
      <alignment horizontal="center" vertical="center"/>
    </xf>
    <xf numFmtId="1" fontId="12" fillId="4" borderId="9" xfId="0" applyNumberFormat="1" applyFont="1" applyFill="1" applyBorder="1" applyAlignment="1">
      <alignment horizontal="center" vertical="center"/>
    </xf>
    <xf numFmtId="164" fontId="12" fillId="4" borderId="1" xfId="1" applyNumberFormat="1" applyFont="1" applyFill="1" applyBorder="1" applyAlignment="1">
      <alignment horizontal="center" vertical="center"/>
    </xf>
    <xf numFmtId="0" fontId="12" fillId="4" borderId="1"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0" borderId="1" xfId="0" applyFont="1" applyBorder="1" applyAlignment="1">
      <alignment horizontal="left" vertical="center" indent="1"/>
    </xf>
    <xf numFmtId="0" fontId="12" fillId="4" borderId="1" xfId="0" applyFont="1" applyFill="1" applyBorder="1" applyAlignment="1">
      <alignment vertical="center"/>
    </xf>
    <xf numFmtId="164" fontId="12" fillId="4" borderId="1" xfId="1" applyNumberFormat="1" applyFont="1" applyFill="1" applyBorder="1" applyAlignment="1">
      <alignment horizontal="left" vertical="center"/>
    </xf>
    <xf numFmtId="0" fontId="13" fillId="0" borderId="11" xfId="0" applyFont="1" applyBorder="1" applyAlignment="1">
      <alignment horizontal="right" vertical="center" indent="1"/>
    </xf>
    <xf numFmtId="3" fontId="13" fillId="0" borderId="0" xfId="0" applyNumberFormat="1" applyFont="1" applyAlignment="1">
      <alignment horizontal="center" vertical="center"/>
    </xf>
    <xf numFmtId="0" fontId="0" fillId="0" borderId="0" xfId="0" applyAlignment="1">
      <alignment horizontal="left" vertical="top" wrapText="1"/>
    </xf>
    <xf numFmtId="0" fontId="14" fillId="0" borderId="7" xfId="0" applyFont="1" applyBorder="1" applyAlignment="1">
      <alignment horizontal="left" vertical="center"/>
    </xf>
    <xf numFmtId="0" fontId="12" fillId="0" borderId="0" xfId="0" applyFont="1" applyAlignment="1">
      <alignment horizontal="left" vertical="center" wrapText="1" indent="2"/>
    </xf>
    <xf numFmtId="0" fontId="16" fillId="0" borderId="0" xfId="0" applyFont="1" applyAlignment="1">
      <alignment vertical="center" wrapText="1"/>
    </xf>
    <xf numFmtId="0" fontId="12" fillId="4" borderId="1" xfId="0" applyFont="1" applyFill="1" applyBorder="1" applyAlignment="1">
      <alignment horizontal="left" vertical="center" wrapText="1" indent="1"/>
    </xf>
    <xf numFmtId="0" fontId="12" fillId="0" borderId="0" xfId="0" applyFont="1" applyAlignment="1">
      <alignment horizontal="right" vertical="center" wrapText="1"/>
    </xf>
    <xf numFmtId="0" fontId="13" fillId="5" borderId="0" xfId="0" applyFont="1" applyFill="1" applyAlignment="1">
      <alignment vertical="center" wrapText="1"/>
    </xf>
    <xf numFmtId="3" fontId="12" fillId="0" borderId="1" xfId="0" applyNumberFormat="1" applyFont="1" applyBorder="1" applyAlignment="1">
      <alignment horizontal="center" vertical="center"/>
    </xf>
    <xf numFmtId="0" fontId="14" fillId="0" borderId="5" xfId="0" applyFont="1" applyBorder="1" applyAlignment="1">
      <alignment horizontal="left" vertical="center"/>
    </xf>
    <xf numFmtId="0" fontId="16" fillId="0" borderId="0" xfId="0" applyFont="1" applyAlignment="1">
      <alignment horizontal="left" vertical="center"/>
    </xf>
    <xf numFmtId="0" fontId="12" fillId="0" borderId="12" xfId="0" applyFont="1" applyBorder="1" applyAlignment="1">
      <alignment horizontal="left" vertical="center"/>
    </xf>
    <xf numFmtId="8" fontId="4" fillId="0" borderId="0" xfId="0" applyNumberFormat="1" applyFont="1" applyAlignment="1">
      <alignment vertical="center"/>
    </xf>
    <xf numFmtId="0" fontId="7" fillId="0" borderId="0" xfId="3" applyAlignment="1">
      <alignment horizontal="left" vertical="top" wrapText="1"/>
    </xf>
    <xf numFmtId="9" fontId="13" fillId="5" borderId="0" xfId="2" applyFont="1" applyFill="1" applyBorder="1" applyAlignment="1">
      <alignment horizontal="center" vertical="center"/>
    </xf>
    <xf numFmtId="166" fontId="13" fillId="5" borderId="0" xfId="0" applyNumberFormat="1" applyFont="1" applyFill="1" applyAlignment="1">
      <alignment horizontal="center" vertical="center"/>
    </xf>
    <xf numFmtId="3" fontId="12" fillId="4" borderId="1" xfId="0" applyNumberFormat="1" applyFont="1" applyFill="1" applyBorder="1" applyAlignment="1">
      <alignment horizontal="centerContinuous" vertical="center"/>
    </xf>
    <xf numFmtId="164" fontId="12" fillId="4" borderId="1" xfId="1" applyNumberFormat="1" applyFont="1" applyFill="1" applyBorder="1" applyAlignment="1">
      <alignment horizontal="centerContinuous" vertical="center"/>
    </xf>
    <xf numFmtId="2" fontId="12" fillId="4" borderId="1" xfId="0" applyNumberFormat="1" applyFont="1" applyFill="1" applyBorder="1" applyAlignment="1">
      <alignment horizontal="center" vertical="center"/>
    </xf>
    <xf numFmtId="0" fontId="12" fillId="0" borderId="0" xfId="0" applyFont="1" applyAlignment="1">
      <alignment horizontal="left" vertical="center" wrapText="1" indent="3"/>
    </xf>
    <xf numFmtId="165" fontId="0" fillId="2" borderId="0" xfId="0" applyNumberFormat="1" applyFill="1" applyAlignment="1">
      <alignment horizontal="center" vertical="top"/>
    </xf>
    <xf numFmtId="0" fontId="0" fillId="4" borderId="0" xfId="0" applyFill="1" applyAlignment="1">
      <alignment horizontal="center" vertical="top"/>
    </xf>
    <xf numFmtId="1" fontId="0" fillId="4" borderId="0" xfId="0" applyNumberFormat="1" applyFill="1" applyAlignment="1">
      <alignment horizontal="center" vertical="top"/>
    </xf>
    <xf numFmtId="165" fontId="0" fillId="4" borderId="0" xfId="0" applyNumberFormat="1" applyFill="1" applyAlignment="1">
      <alignment horizontal="center" vertical="top"/>
    </xf>
    <xf numFmtId="2" fontId="0" fillId="4" borderId="0" xfId="2" applyNumberFormat="1" applyFont="1" applyFill="1" applyAlignment="1">
      <alignment horizontal="center" vertical="top"/>
    </xf>
    <xf numFmtId="164" fontId="0" fillId="4" borderId="0" xfId="0" applyNumberFormat="1" applyFill="1" applyAlignment="1">
      <alignment horizontal="center" vertical="top"/>
    </xf>
    <xf numFmtId="2" fontId="12" fillId="4" borderId="1" xfId="1" applyNumberFormat="1" applyFont="1" applyFill="1" applyBorder="1" applyAlignment="1">
      <alignment horizontal="center" vertical="center"/>
    </xf>
    <xf numFmtId="3" fontId="12" fillId="4" borderId="1" xfId="1" applyNumberFormat="1" applyFont="1" applyFill="1" applyBorder="1" applyAlignment="1">
      <alignment horizontal="center" vertical="center"/>
    </xf>
    <xf numFmtId="166" fontId="13" fillId="5" borderId="14" xfId="0" applyNumberFormat="1" applyFont="1" applyFill="1" applyBorder="1" applyAlignment="1">
      <alignment horizontal="center" vertical="center"/>
    </xf>
    <xf numFmtId="0" fontId="22" fillId="0" borderId="0" xfId="0" applyFont="1" applyAlignment="1">
      <alignment vertical="center"/>
    </xf>
    <xf numFmtId="0" fontId="23"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13" xfId="0" applyFont="1" applyBorder="1" applyAlignment="1">
      <alignment vertical="center"/>
    </xf>
    <xf numFmtId="0" fontId="22" fillId="5" borderId="0" xfId="0" applyFont="1" applyFill="1" applyAlignment="1">
      <alignment vertical="center"/>
    </xf>
    <xf numFmtId="0" fontId="22" fillId="5" borderId="0" xfId="0" applyFont="1" applyFill="1" applyAlignment="1">
      <alignment horizontal="center" vertical="center"/>
    </xf>
    <xf numFmtId="0" fontId="24" fillId="5" borderId="0" xfId="0" applyFont="1" applyFill="1" applyAlignment="1">
      <alignment vertical="center"/>
    </xf>
    <xf numFmtId="0" fontId="24" fillId="5" borderId="0" xfId="0" applyFont="1" applyFill="1" applyAlignment="1">
      <alignment horizontal="center" vertical="center"/>
    </xf>
    <xf numFmtId="165" fontId="12" fillId="4" borderId="1" xfId="1" applyNumberFormat="1" applyFont="1" applyFill="1" applyBorder="1" applyAlignment="1">
      <alignment horizontal="centerContinuous" vertical="center"/>
    </xf>
    <xf numFmtId="1" fontId="0" fillId="4" borderId="0" xfId="2" applyNumberFormat="1" applyFont="1" applyFill="1" applyAlignment="1">
      <alignment horizontal="center" vertical="top"/>
    </xf>
    <xf numFmtId="164" fontId="0" fillId="4" borderId="0" xfId="2" applyNumberFormat="1" applyFont="1" applyFill="1" applyAlignment="1">
      <alignment horizontal="center" vertical="top"/>
    </xf>
    <xf numFmtId="165" fontId="0" fillId="4" borderId="0" xfId="2" applyNumberFormat="1" applyFont="1" applyFill="1" applyAlignment="1">
      <alignment horizontal="center" vertical="top"/>
    </xf>
    <xf numFmtId="0" fontId="0" fillId="4" borderId="0" xfId="0" applyFill="1"/>
    <xf numFmtId="0" fontId="8" fillId="5" borderId="0" xfId="0" applyFont="1" applyFill="1" applyAlignment="1">
      <alignment horizontal="left" vertical="center" indent="1"/>
    </xf>
    <xf numFmtId="0" fontId="10" fillId="5" borderId="0" xfId="0" applyFont="1" applyFill="1" applyAlignment="1">
      <alignment horizontal="center" vertical="center" wrapText="1"/>
    </xf>
    <xf numFmtId="0" fontId="24" fillId="5" borderId="0" xfId="0" applyFont="1" applyFill="1" applyAlignment="1">
      <alignment vertical="center" wrapText="1"/>
    </xf>
    <xf numFmtId="0" fontId="24" fillId="5" borderId="0" xfId="0" applyFont="1" applyFill="1" applyAlignment="1">
      <alignment horizontal="center" vertical="center" wrapText="1"/>
    </xf>
    <xf numFmtId="0" fontId="13" fillId="5" borderId="1" xfId="0" applyFont="1" applyFill="1" applyBorder="1" applyAlignment="1">
      <alignment horizontal="center" vertical="center" wrapText="1"/>
    </xf>
    <xf numFmtId="9" fontId="13" fillId="5" borderId="1" xfId="2" applyFont="1" applyFill="1" applyBorder="1" applyAlignment="1">
      <alignment horizontal="center" vertical="center" wrapText="1"/>
    </xf>
    <xf numFmtId="3" fontId="13" fillId="5" borderId="1" xfId="0" applyNumberFormat="1" applyFont="1" applyFill="1" applyBorder="1" applyAlignment="1">
      <alignment horizontal="center" vertical="center" wrapText="1"/>
    </xf>
    <xf numFmtId="166" fontId="13" fillId="5" borderId="1" xfId="0" applyNumberFormat="1" applyFont="1" applyFill="1" applyBorder="1" applyAlignment="1">
      <alignment horizontal="center" vertical="center" wrapText="1"/>
    </xf>
    <xf numFmtId="9" fontId="13" fillId="5" borderId="0" xfId="2" applyFont="1" applyFill="1" applyBorder="1" applyAlignment="1">
      <alignment horizontal="center" vertical="center" wrapText="1"/>
    </xf>
    <xf numFmtId="3" fontId="13" fillId="5" borderId="0" xfId="0" applyNumberFormat="1" applyFont="1" applyFill="1" applyAlignment="1">
      <alignment horizontal="center" vertical="center" wrapText="1"/>
    </xf>
    <xf numFmtId="166" fontId="13" fillId="5" borderId="0" xfId="0" applyNumberFormat="1" applyFont="1" applyFill="1" applyAlignment="1">
      <alignment horizontal="center" vertical="center" wrapText="1"/>
    </xf>
    <xf numFmtId="9" fontId="13" fillId="5" borderId="0" xfId="2" applyFont="1" applyFill="1" applyAlignment="1">
      <alignment horizontal="center" vertical="center" wrapText="1"/>
    </xf>
    <xf numFmtId="2" fontId="13" fillId="5" borderId="1" xfId="0" applyNumberFormat="1" applyFont="1" applyFill="1" applyBorder="1" applyAlignment="1">
      <alignment horizontal="center" vertical="center" wrapText="1"/>
    </xf>
    <xf numFmtId="0" fontId="12" fillId="5" borderId="0" xfId="0" applyFont="1" applyFill="1" applyAlignment="1">
      <alignment vertical="center" wrapText="1"/>
    </xf>
    <xf numFmtId="2" fontId="13" fillId="5" borderId="0" xfId="0" applyNumberFormat="1" applyFont="1" applyFill="1" applyAlignment="1">
      <alignment horizontal="center" vertical="center" wrapText="1"/>
    </xf>
    <xf numFmtId="3" fontId="13" fillId="0" borderId="0" xfId="0" applyNumberFormat="1" applyFont="1" applyAlignment="1">
      <alignment horizontal="center" vertical="center" wrapText="1"/>
    </xf>
    <xf numFmtId="0" fontId="13" fillId="0" borderId="0" xfId="0" applyFont="1" applyAlignment="1">
      <alignment horizontal="center" vertical="center" wrapText="1"/>
    </xf>
    <xf numFmtId="1" fontId="13" fillId="5" borderId="1" xfId="0" applyNumberFormat="1" applyFont="1" applyFill="1" applyBorder="1" applyAlignment="1">
      <alignment horizontal="center" vertical="center" wrapText="1"/>
    </xf>
    <xf numFmtId="0" fontId="15" fillId="5" borderId="0" xfId="0" applyFont="1" applyFill="1" applyAlignment="1">
      <alignment horizontal="left" vertical="center" wrapText="1"/>
    </xf>
    <xf numFmtId="0" fontId="13" fillId="5" borderId="0" xfId="0" applyFont="1" applyFill="1" applyAlignment="1">
      <alignment horizontal="left" vertical="center" wrapText="1"/>
    </xf>
    <xf numFmtId="0" fontId="8" fillId="5" borderId="0" xfId="0" applyFont="1" applyFill="1" applyAlignment="1">
      <alignment horizontal="right" vertical="center" wrapText="1"/>
    </xf>
    <xf numFmtId="0" fontId="8" fillId="5" borderId="0" xfId="0" applyFont="1" applyFill="1" applyAlignment="1">
      <alignment horizontal="center" vertical="center" wrapText="1"/>
    </xf>
    <xf numFmtId="3" fontId="8" fillId="5" borderId="0" xfId="0" applyNumberFormat="1" applyFont="1" applyFill="1" applyAlignment="1">
      <alignment horizontal="center" vertical="center" wrapText="1"/>
    </xf>
    <xf numFmtId="3" fontId="9" fillId="5" borderId="0" xfId="0" applyNumberFormat="1" applyFont="1" applyFill="1" applyAlignment="1">
      <alignment horizontal="center" vertical="center" wrapText="1"/>
    </xf>
    <xf numFmtId="0" fontId="22" fillId="5" borderId="0" xfId="0" applyFont="1" applyFill="1" applyAlignment="1">
      <alignment horizontal="center" vertical="center" wrapText="1"/>
    </xf>
    <xf numFmtId="0" fontId="13" fillId="5" borderId="15" xfId="0" applyFont="1" applyFill="1" applyBorder="1" applyAlignment="1">
      <alignment horizontal="center" vertical="center" wrapText="1"/>
    </xf>
    <xf numFmtId="0" fontId="13" fillId="5" borderId="9" xfId="0" applyFont="1" applyFill="1" applyBorder="1" applyAlignment="1">
      <alignment horizontal="center" vertical="center" wrapText="1"/>
    </xf>
    <xf numFmtId="3" fontId="18" fillId="5" borderId="0" xfId="0" applyNumberFormat="1" applyFont="1" applyFill="1" applyAlignment="1">
      <alignment horizontal="center" vertical="center" wrapText="1"/>
    </xf>
    <xf numFmtId="3" fontId="4" fillId="5" borderId="0" xfId="0" applyNumberFormat="1" applyFont="1" applyFill="1" applyAlignment="1">
      <alignment horizontal="center" vertical="center" wrapText="1"/>
    </xf>
    <xf numFmtId="3" fontId="13" fillId="5" borderId="14" xfId="0" applyNumberFormat="1" applyFont="1" applyFill="1" applyBorder="1" applyAlignment="1">
      <alignment horizontal="center" vertical="center" wrapText="1"/>
    </xf>
    <xf numFmtId="0" fontId="12" fillId="5" borderId="0" xfId="0" applyFont="1" applyFill="1" applyAlignment="1">
      <alignment horizontal="center" vertical="center" wrapText="1"/>
    </xf>
    <xf numFmtId="3" fontId="0" fillId="5" borderId="0" xfId="0" applyNumberFormat="1" applyFill="1" applyAlignment="1">
      <alignment horizontal="center" vertical="center" wrapText="1"/>
    </xf>
    <xf numFmtId="0" fontId="9" fillId="5" borderId="0" xfId="0" applyFont="1" applyFill="1" applyAlignment="1">
      <alignment horizontal="center" vertical="center" wrapText="1"/>
    </xf>
    <xf numFmtId="0" fontId="9" fillId="5" borderId="0" xfId="0" applyFont="1" applyFill="1" applyAlignment="1">
      <alignment vertical="center" wrapText="1"/>
    </xf>
    <xf numFmtId="0" fontId="10" fillId="5" borderId="0" xfId="0" applyFont="1" applyFill="1" applyAlignment="1">
      <alignment vertical="center" wrapText="1"/>
    </xf>
    <xf numFmtId="0" fontId="22" fillId="5" borderId="0" xfId="0" applyFont="1" applyFill="1" applyAlignment="1">
      <alignment vertical="center" wrapText="1"/>
    </xf>
    <xf numFmtId="0" fontId="0" fillId="5" borderId="0" xfId="0" applyFill="1" applyAlignment="1">
      <alignment horizontal="center" vertical="center" wrapText="1"/>
    </xf>
    <xf numFmtId="0" fontId="0" fillId="5" borderId="0" xfId="0" applyFill="1" applyAlignment="1">
      <alignment vertical="center" wrapText="1"/>
    </xf>
    <xf numFmtId="0" fontId="8" fillId="5" borderId="0" xfId="0" applyFont="1" applyFill="1" applyAlignment="1">
      <alignment vertical="center" wrapText="1"/>
    </xf>
    <xf numFmtId="0" fontId="8" fillId="5" borderId="0" xfId="0" applyFont="1" applyFill="1" applyAlignment="1">
      <alignment horizontal="left" vertical="center" indent="2"/>
    </xf>
    <xf numFmtId="0" fontId="26" fillId="0" borderId="0" xfId="0" applyFont="1" applyAlignment="1">
      <alignment vertical="center" wrapText="1"/>
    </xf>
    <xf numFmtId="0" fontId="27" fillId="0" borderId="0" xfId="0" applyFont="1" applyAlignment="1">
      <alignment vertical="center" wrapText="1"/>
    </xf>
    <xf numFmtId="0" fontId="16" fillId="0" borderId="0" xfId="0" applyFont="1" applyAlignment="1">
      <alignment horizontal="left" vertical="center" wrapText="1"/>
    </xf>
    <xf numFmtId="165" fontId="16" fillId="2" borderId="0" xfId="0" applyNumberFormat="1" applyFont="1" applyFill="1" applyAlignment="1">
      <alignment horizontal="left" vertical="center" wrapText="1"/>
    </xf>
    <xf numFmtId="0" fontId="16" fillId="2" borderId="0" xfId="0" applyFont="1" applyFill="1" applyAlignment="1">
      <alignment horizontal="left" vertical="center" wrapText="1"/>
    </xf>
    <xf numFmtId="0" fontId="25" fillId="0" borderId="0" xfId="0" applyFont="1" applyAlignment="1">
      <alignment vertical="center" wrapText="1"/>
    </xf>
    <xf numFmtId="0" fontId="12" fillId="2" borderId="0" xfId="0" applyFont="1" applyFill="1" applyAlignment="1">
      <alignment vertical="center"/>
    </xf>
    <xf numFmtId="0" fontId="16" fillId="2" borderId="0" xfId="0" applyFont="1" applyFill="1" applyAlignment="1">
      <alignment horizontal="center" vertical="center" wrapText="1"/>
    </xf>
    <xf numFmtId="165" fontId="16" fillId="2" borderId="0" xfId="0" applyNumberFormat="1" applyFont="1" applyFill="1" applyAlignment="1">
      <alignment horizontal="center" vertical="center" wrapText="1"/>
    </xf>
    <xf numFmtId="167" fontId="16" fillId="2" borderId="0" xfId="0" applyNumberFormat="1" applyFont="1" applyFill="1" applyAlignment="1">
      <alignment horizontal="left" vertical="center" wrapText="1"/>
    </xf>
    <xf numFmtId="0" fontId="27" fillId="2" borderId="0" xfId="0" applyFont="1" applyFill="1" applyAlignment="1">
      <alignment vertical="center" wrapText="1"/>
    </xf>
    <xf numFmtId="0" fontId="16" fillId="2" borderId="0" xfId="0" applyFont="1" applyFill="1" applyAlignment="1">
      <alignment vertical="center" wrapText="1"/>
    </xf>
    <xf numFmtId="165" fontId="12" fillId="2" borderId="0" xfId="0" applyNumberFormat="1" applyFont="1" applyFill="1" applyAlignment="1">
      <alignment horizontal="left" vertical="center"/>
    </xf>
    <xf numFmtId="0" fontId="12" fillId="2" borderId="0" xfId="0" applyFont="1" applyFill="1" applyAlignment="1">
      <alignment horizontal="left" vertical="center" wrapText="1"/>
    </xf>
    <xf numFmtId="165" fontId="12" fillId="2" borderId="0" xfId="0" applyNumberFormat="1" applyFont="1" applyFill="1" applyAlignment="1">
      <alignment horizontal="center" vertical="center"/>
    </xf>
    <xf numFmtId="0" fontId="12" fillId="2" borderId="0" xfId="0" applyFont="1" applyFill="1" applyAlignment="1">
      <alignment horizontal="center" vertical="center" wrapText="1"/>
    </xf>
    <xf numFmtId="167" fontId="12" fillId="2" borderId="0" xfId="0" applyNumberFormat="1" applyFont="1" applyFill="1" applyAlignment="1">
      <alignment horizontal="left" vertical="center"/>
    </xf>
    <xf numFmtId="0" fontId="22" fillId="2" borderId="0" xfId="0" applyFont="1" applyFill="1" applyAlignment="1">
      <alignment vertical="center"/>
    </xf>
    <xf numFmtId="0" fontId="12" fillId="2" borderId="0" xfId="0" applyFont="1" applyFill="1" applyAlignment="1">
      <alignment horizontal="right" vertical="center"/>
    </xf>
    <xf numFmtId="0" fontId="0" fillId="4" borderId="0" xfId="0" applyFill="1" applyAlignment="1">
      <alignment vertical="center"/>
    </xf>
    <xf numFmtId="165" fontId="0" fillId="4" borderId="0" xfId="0" applyNumberFormat="1" applyFill="1"/>
    <xf numFmtId="0" fontId="0" fillId="4" borderId="1" xfId="0" applyFill="1" applyBorder="1" applyAlignment="1">
      <alignment horizontal="centerContinuous"/>
    </xf>
    <xf numFmtId="0" fontId="0" fillId="4" borderId="2" xfId="0" applyFill="1" applyBorder="1" applyAlignment="1">
      <alignment horizontal="left"/>
    </xf>
    <xf numFmtId="0" fontId="0" fillId="4" borderId="3" xfId="0" applyFill="1" applyBorder="1" applyAlignment="1">
      <alignment horizontal="centerContinuous"/>
    </xf>
    <xf numFmtId="0" fontId="0" fillId="4" borderId="4" xfId="0" applyFill="1" applyBorder="1" applyAlignment="1">
      <alignment horizontal="centerContinuous"/>
    </xf>
    <xf numFmtId="14" fontId="0" fillId="4" borderId="2" xfId="0" applyNumberFormat="1" applyFill="1" applyBorder="1" applyAlignment="1">
      <alignment horizontal="left"/>
    </xf>
    <xf numFmtId="3" fontId="0" fillId="4" borderId="1" xfId="0" applyNumberFormat="1" applyFill="1" applyBorder="1" applyAlignment="1">
      <alignment horizontal="centerContinuous"/>
    </xf>
    <xf numFmtId="2" fontId="0" fillId="4" borderId="0" xfId="0" applyNumberFormat="1" applyFill="1"/>
    <xf numFmtId="2" fontId="0" fillId="4" borderId="0" xfId="0" applyNumberFormat="1" applyFill="1" applyAlignment="1">
      <alignment horizontal="center" vertical="top"/>
    </xf>
    <xf numFmtId="0" fontId="0" fillId="0" borderId="0" xfId="0" applyAlignment="1">
      <alignment horizontal="center"/>
    </xf>
    <xf numFmtId="9" fontId="8" fillId="5" borderId="0" xfId="2" applyFont="1" applyFill="1" applyAlignment="1">
      <alignment horizontal="center" vertical="center" wrapText="1"/>
    </xf>
    <xf numFmtId="0" fontId="8" fillId="5" borderId="0" xfId="0" applyFont="1" applyFill="1" applyAlignment="1">
      <alignment horizontal="right" vertical="center"/>
    </xf>
    <xf numFmtId="0" fontId="8" fillId="8" borderId="0" xfId="0" applyFont="1" applyFill="1" applyAlignment="1">
      <alignment horizontal="left" vertical="center"/>
    </xf>
    <xf numFmtId="0" fontId="8" fillId="8" borderId="0" xfId="0" applyFont="1" applyFill="1" applyAlignment="1">
      <alignment horizontal="right" vertical="center" wrapText="1"/>
    </xf>
    <xf numFmtId="0" fontId="8" fillId="8" borderId="0" xfId="0" applyFont="1" applyFill="1" applyAlignment="1">
      <alignment horizontal="center" vertical="center" wrapText="1"/>
    </xf>
    <xf numFmtId="3" fontId="8" fillId="8" borderId="0" xfId="0" applyNumberFormat="1" applyFont="1" applyFill="1" applyAlignment="1">
      <alignment horizontal="center" vertical="center" wrapText="1"/>
    </xf>
    <xf numFmtId="9" fontId="8" fillId="8" borderId="0" xfId="2" applyFont="1" applyFill="1" applyAlignment="1">
      <alignment horizontal="center" vertical="center" wrapText="1"/>
    </xf>
    <xf numFmtId="0" fontId="8" fillId="8" borderId="0" xfId="0" applyFont="1" applyFill="1" applyAlignment="1">
      <alignment horizontal="left" vertical="center" indent="1"/>
    </xf>
    <xf numFmtId="0" fontId="16" fillId="0" borderId="0" xfId="0" applyFont="1" applyAlignment="1">
      <alignment horizontal="left" vertical="center" indent="1"/>
    </xf>
    <xf numFmtId="0" fontId="11" fillId="9" borderId="0" xfId="0" applyFont="1" applyFill="1" applyAlignment="1">
      <alignment vertical="center"/>
    </xf>
    <xf numFmtId="0" fontId="12" fillId="9" borderId="0" xfId="0" applyFont="1" applyFill="1" applyAlignment="1">
      <alignment horizontal="center" vertical="center"/>
    </xf>
    <xf numFmtId="0" fontId="12" fillId="9" borderId="0" xfId="0" applyFont="1" applyFill="1" applyAlignment="1">
      <alignment horizontal="left" vertical="center"/>
    </xf>
    <xf numFmtId="0" fontId="12" fillId="9" borderId="0" xfId="0" applyFont="1" applyFill="1" applyAlignment="1">
      <alignment vertical="center"/>
    </xf>
    <xf numFmtId="0" fontId="12" fillId="9" borderId="0" xfId="0" applyFont="1" applyFill="1" applyAlignment="1">
      <alignment horizontal="center" vertical="center" wrapText="1"/>
    </xf>
    <xf numFmtId="0" fontId="16" fillId="9" borderId="0" xfId="0" applyFont="1" applyFill="1" applyAlignment="1">
      <alignment horizontal="left" vertical="center" wrapText="1"/>
    </xf>
    <xf numFmtId="0" fontId="13" fillId="9" borderId="11" xfId="0" applyFont="1" applyFill="1" applyBorder="1" applyAlignment="1">
      <alignment vertical="center"/>
    </xf>
    <xf numFmtId="3" fontId="4" fillId="9" borderId="0" xfId="0" applyNumberFormat="1" applyFont="1" applyFill="1" applyAlignment="1">
      <alignment horizontal="center" vertical="center"/>
    </xf>
    <xf numFmtId="0" fontId="13" fillId="9" borderId="0" xfId="0" applyFont="1" applyFill="1" applyAlignment="1">
      <alignment horizontal="center" vertical="center"/>
    </xf>
    <xf numFmtId="0" fontId="13" fillId="9" borderId="0" xfId="0" applyFont="1" applyFill="1" applyAlignment="1">
      <alignment vertical="center"/>
    </xf>
    <xf numFmtId="0" fontId="0" fillId="9" borderId="0" xfId="0" applyFill="1" applyAlignment="1">
      <alignment horizontal="center" vertical="center"/>
    </xf>
    <xf numFmtId="0" fontId="0" fillId="9" borderId="0" xfId="0" applyFill="1" applyAlignment="1">
      <alignment horizontal="left" vertical="center"/>
    </xf>
    <xf numFmtId="0" fontId="0" fillId="9" borderId="0" xfId="0" applyFill="1" applyAlignment="1">
      <alignment vertical="center"/>
    </xf>
    <xf numFmtId="0" fontId="0" fillId="9" borderId="0" xfId="0" applyFill="1" applyAlignment="1">
      <alignment horizontal="right" vertical="center"/>
    </xf>
    <xf numFmtId="0" fontId="25" fillId="9" borderId="0" xfId="0" applyFont="1" applyFill="1" applyAlignment="1">
      <alignment horizontal="left" vertical="center" wrapText="1"/>
    </xf>
    <xf numFmtId="0" fontId="8" fillId="9" borderId="11" xfId="0" applyFont="1" applyFill="1" applyBorder="1" applyAlignment="1">
      <alignment vertical="center"/>
    </xf>
    <xf numFmtId="0" fontId="8" fillId="9" borderId="0" xfId="0" applyFont="1" applyFill="1" applyAlignment="1">
      <alignment horizontal="center" vertical="center"/>
    </xf>
    <xf numFmtId="0" fontId="8" fillId="9" borderId="0" xfId="0" applyFont="1" applyFill="1" applyAlignment="1">
      <alignment vertical="center"/>
    </xf>
    <xf numFmtId="0" fontId="0" fillId="9" borderId="13" xfId="0" applyFill="1" applyBorder="1" applyAlignment="1">
      <alignment horizontal="center" vertical="center" wrapText="1"/>
    </xf>
    <xf numFmtId="0" fontId="12" fillId="9" borderId="13" xfId="0" applyFont="1" applyFill="1" applyBorder="1" applyAlignment="1">
      <alignment horizontal="left" vertical="center"/>
    </xf>
    <xf numFmtId="0" fontId="12" fillId="9" borderId="0" xfId="0" applyFont="1" applyFill="1" applyAlignment="1">
      <alignment horizontal="right" vertical="center"/>
    </xf>
    <xf numFmtId="0" fontId="12" fillId="9" borderId="13" xfId="0" applyFont="1" applyFill="1" applyBorder="1" applyAlignment="1">
      <alignment horizontal="center" vertical="center" wrapText="1"/>
    </xf>
    <xf numFmtId="0" fontId="25" fillId="9" borderId="0" xfId="0" applyFont="1" applyFill="1" applyAlignment="1">
      <alignment vertical="center" wrapText="1"/>
    </xf>
    <xf numFmtId="0" fontId="0" fillId="9" borderId="13" xfId="0" applyFill="1" applyBorder="1" applyAlignment="1">
      <alignment vertical="center"/>
    </xf>
    <xf numFmtId="0" fontId="12" fillId="9" borderId="0" xfId="0" applyFont="1" applyFill="1" applyAlignment="1">
      <alignment horizontal="left" vertical="center" wrapText="1"/>
    </xf>
    <xf numFmtId="0" fontId="12" fillId="9" borderId="13" xfId="0" applyFont="1" applyFill="1" applyBorder="1" applyAlignment="1">
      <alignment vertical="center"/>
    </xf>
    <xf numFmtId="0" fontId="12" fillId="0" borderId="7" xfId="0" applyFont="1" applyBorder="1" applyAlignment="1">
      <alignment horizontal="center" vertical="center"/>
    </xf>
    <xf numFmtId="0" fontId="0" fillId="5" borderId="0" xfId="0" applyFill="1" applyAlignment="1">
      <alignment vertical="top"/>
    </xf>
    <xf numFmtId="0" fontId="12" fillId="0" borderId="16" xfId="0" applyFont="1" applyBorder="1" applyAlignment="1">
      <alignment horizontal="left" vertical="center"/>
    </xf>
    <xf numFmtId="0" fontId="8" fillId="0" borderId="0" xfId="0" applyFont="1" applyAlignment="1">
      <alignment horizontal="center" wrapText="1"/>
    </xf>
    <xf numFmtId="0" fontId="8" fillId="0" borderId="0" xfId="0" applyFont="1"/>
    <xf numFmtId="0" fontId="8" fillId="0" borderId="0" xfId="0" applyFont="1" applyAlignment="1">
      <alignment horizontal="right" wrapText="1"/>
    </xf>
    <xf numFmtId="3" fontId="8" fillId="0" borderId="0" xfId="0" applyNumberFormat="1" applyFont="1" applyAlignment="1">
      <alignment horizontal="right"/>
    </xf>
    <xf numFmtId="3" fontId="8" fillId="5" borderId="1" xfId="0" applyNumberFormat="1" applyFont="1" applyFill="1" applyBorder="1" applyAlignment="1">
      <alignment horizontal="right"/>
    </xf>
    <xf numFmtId="0" fontId="11" fillId="0" borderId="0" xfId="0" applyFont="1" applyAlignment="1">
      <alignment vertical="center"/>
    </xf>
    <xf numFmtId="0" fontId="20" fillId="0" borderId="0" xfId="0" applyFont="1"/>
    <xf numFmtId="0" fontId="10" fillId="0" borderId="0" xfId="0" applyFont="1" applyAlignment="1">
      <alignment vertical="center"/>
    </xf>
    <xf numFmtId="0" fontId="10" fillId="0" borderId="0" xfId="0" applyFont="1" applyAlignment="1">
      <alignment horizontal="center" vertical="center"/>
    </xf>
    <xf numFmtId="0" fontId="3" fillId="0" borderId="1" xfId="0" applyFont="1" applyBorder="1" applyAlignment="1">
      <alignment horizontal="center" wrapText="1"/>
    </xf>
    <xf numFmtId="0" fontId="3" fillId="0" borderId="1" xfId="0" applyFont="1" applyBorder="1" applyAlignment="1">
      <alignment horizontal="left" wrapText="1"/>
    </xf>
    <xf numFmtId="0" fontId="3" fillId="0" borderId="1" xfId="0" applyFont="1" applyBorder="1" applyAlignment="1">
      <alignment horizontal="right" wrapText="1"/>
    </xf>
    <xf numFmtId="0" fontId="3" fillId="0" borderId="1" xfId="0" applyFont="1" applyBorder="1" applyAlignment="1">
      <alignment horizontal="right"/>
    </xf>
    <xf numFmtId="0" fontId="4" fillId="0" borderId="1" xfId="0" applyFont="1" applyBorder="1" applyAlignment="1">
      <alignment horizontal="right"/>
    </xf>
    <xf numFmtId="0" fontId="0" fillId="0" borderId="17" xfId="0" applyBorder="1" applyAlignment="1">
      <alignment horizontal="right"/>
    </xf>
    <xf numFmtId="0" fontId="0" fillId="0" borderId="18" xfId="0" applyBorder="1" applyAlignment="1">
      <alignment horizontal="right"/>
    </xf>
    <xf numFmtId="0" fontId="0" fillId="0" borderId="19" xfId="0" applyBorder="1" applyAlignment="1">
      <alignment horizontal="right"/>
    </xf>
    <xf numFmtId="3" fontId="3" fillId="0" borderId="1" xfId="0" applyNumberFormat="1" applyFont="1" applyBorder="1" applyAlignment="1">
      <alignment horizontal="right"/>
    </xf>
    <xf numFmtId="9" fontId="0" fillId="0" borderId="17" xfId="2" applyFont="1" applyFill="1" applyBorder="1" applyAlignment="1">
      <alignment horizontal="right"/>
    </xf>
    <xf numFmtId="3" fontId="0" fillId="0" borderId="17" xfId="0" applyNumberFormat="1" applyBorder="1" applyAlignment="1">
      <alignment horizontal="right"/>
    </xf>
    <xf numFmtId="167" fontId="0" fillId="0" borderId="17" xfId="2" applyNumberFormat="1" applyFont="1" applyFill="1" applyBorder="1" applyAlignment="1">
      <alignment horizontal="right"/>
    </xf>
    <xf numFmtId="9" fontId="0" fillId="0" borderId="18" xfId="2" applyFont="1" applyFill="1" applyBorder="1" applyAlignment="1">
      <alignment horizontal="right"/>
    </xf>
    <xf numFmtId="3" fontId="0" fillId="0" borderId="18" xfId="0" applyNumberFormat="1" applyBorder="1" applyAlignment="1">
      <alignment horizontal="right"/>
    </xf>
    <xf numFmtId="167" fontId="0" fillId="0" borderId="18" xfId="2" applyNumberFormat="1" applyFont="1" applyFill="1" applyBorder="1" applyAlignment="1">
      <alignment horizontal="right"/>
    </xf>
    <xf numFmtId="9" fontId="0" fillId="0" borderId="19" xfId="2" applyFont="1" applyFill="1" applyBorder="1" applyAlignment="1">
      <alignment horizontal="right"/>
    </xf>
    <xf numFmtId="3" fontId="0" fillId="0" borderId="19" xfId="0" applyNumberFormat="1" applyBorder="1" applyAlignment="1">
      <alignment horizontal="right"/>
    </xf>
    <xf numFmtId="167" fontId="0" fillId="0" borderId="19" xfId="2" applyNumberFormat="1" applyFont="1" applyFill="1" applyBorder="1" applyAlignment="1">
      <alignment horizontal="right"/>
    </xf>
    <xf numFmtId="0" fontId="3" fillId="0" borderId="20" xfId="0" applyFont="1" applyBorder="1" applyAlignment="1">
      <alignment horizontal="right" wrapText="1"/>
    </xf>
    <xf numFmtId="0" fontId="3" fillId="0" borderId="21" xfId="0" applyFont="1" applyBorder="1" applyAlignment="1">
      <alignment horizontal="right" wrapText="1"/>
    </xf>
    <xf numFmtId="3" fontId="0" fillId="0" borderId="22" xfId="0" applyNumberFormat="1" applyBorder="1" applyAlignment="1">
      <alignment horizontal="right"/>
    </xf>
    <xf numFmtId="9" fontId="0" fillId="0" borderId="23" xfId="2" applyFont="1" applyFill="1" applyBorder="1" applyAlignment="1">
      <alignment horizontal="right"/>
    </xf>
    <xf numFmtId="3" fontId="0" fillId="0" borderId="24" xfId="0" applyNumberFormat="1" applyBorder="1" applyAlignment="1">
      <alignment horizontal="right"/>
    </xf>
    <xf numFmtId="9" fontId="0" fillId="0" borderId="25" xfId="2" applyFont="1" applyFill="1" applyBorder="1" applyAlignment="1">
      <alignment horizontal="right"/>
    </xf>
    <xf numFmtId="3" fontId="0" fillId="0" borderId="26" xfId="0" applyNumberFormat="1" applyBorder="1" applyAlignment="1">
      <alignment horizontal="right"/>
    </xf>
    <xf numFmtId="9" fontId="0" fillId="0" borderId="27" xfId="2" applyFont="1" applyFill="1" applyBorder="1" applyAlignment="1">
      <alignment horizontal="right"/>
    </xf>
    <xf numFmtId="3" fontId="3" fillId="0" borderId="20" xfId="0" applyNumberFormat="1" applyFont="1" applyBorder="1" applyAlignment="1">
      <alignment horizontal="right"/>
    </xf>
    <xf numFmtId="9" fontId="3" fillId="0" borderId="21" xfId="2" applyFont="1" applyBorder="1" applyAlignment="1">
      <alignment horizontal="right"/>
    </xf>
    <xf numFmtId="0" fontId="3" fillId="0" borderId="21" xfId="0" applyFont="1" applyBorder="1" applyAlignment="1">
      <alignment horizontal="right"/>
    </xf>
    <xf numFmtId="9" fontId="0" fillId="0" borderId="17" xfId="2" quotePrefix="1" applyFont="1" applyFill="1" applyBorder="1" applyAlignment="1">
      <alignment horizontal="right"/>
    </xf>
    <xf numFmtId="9" fontId="0" fillId="0" borderId="18" xfId="2" quotePrefix="1" applyFont="1" applyFill="1" applyBorder="1" applyAlignment="1">
      <alignment horizontal="right"/>
    </xf>
    <xf numFmtId="0" fontId="0" fillId="12" borderId="8" xfId="0" applyFill="1" applyBorder="1"/>
    <xf numFmtId="0" fontId="0" fillId="12" borderId="6" xfId="0" applyFill="1" applyBorder="1"/>
    <xf numFmtId="0" fontId="3" fillId="12" borderId="9" xfId="0" applyFont="1" applyFill="1" applyBorder="1"/>
    <xf numFmtId="168" fontId="12" fillId="0" borderId="1" xfId="0" applyNumberFormat="1" applyFont="1" applyBorder="1" applyAlignment="1">
      <alignment horizontal="center" vertical="center"/>
    </xf>
    <xf numFmtId="0" fontId="12" fillId="4" borderId="1" xfId="0" applyFont="1" applyFill="1" applyBorder="1" applyAlignment="1">
      <alignment horizontal="left" vertical="center" indent="2"/>
    </xf>
    <xf numFmtId="0" fontId="12" fillId="0" borderId="8" xfId="0" applyFont="1" applyBorder="1" applyAlignment="1">
      <alignment horizontal="center" vertical="center"/>
    </xf>
    <xf numFmtId="0" fontId="30" fillId="5" borderId="0" xfId="0" applyFont="1" applyFill="1" applyAlignment="1">
      <alignment horizontal="left" vertical="center"/>
    </xf>
    <xf numFmtId="0" fontId="9" fillId="0" borderId="0" xfId="0" applyFont="1" applyAlignment="1">
      <alignment horizontal="center" vertical="center" wrapText="1"/>
    </xf>
    <xf numFmtId="0" fontId="26" fillId="0" borderId="0" xfId="0" applyFont="1" applyAlignment="1">
      <alignment horizontal="left" vertical="center" wrapText="1"/>
    </xf>
    <xf numFmtId="0" fontId="9" fillId="12" borderId="0" xfId="0" applyFont="1" applyFill="1" applyAlignment="1">
      <alignment horizontal="center" vertical="center"/>
    </xf>
    <xf numFmtId="0" fontId="9" fillId="12" borderId="0" xfId="0" applyFont="1" applyFill="1" applyAlignment="1">
      <alignment horizontal="left" vertical="center"/>
    </xf>
    <xf numFmtId="0" fontId="9" fillId="12" borderId="0" xfId="0" applyFont="1" applyFill="1" applyAlignment="1">
      <alignment vertical="center"/>
    </xf>
    <xf numFmtId="0" fontId="4" fillId="12" borderId="0" xfId="0" applyFont="1" applyFill="1" applyAlignment="1">
      <alignment horizontal="right" vertical="center"/>
    </xf>
    <xf numFmtId="3" fontId="4" fillId="12" borderId="1" xfId="0" applyNumberFormat="1" applyFont="1" applyFill="1" applyBorder="1" applyAlignment="1">
      <alignment horizontal="center" vertical="center"/>
    </xf>
    <xf numFmtId="0" fontId="4" fillId="12" borderId="0" xfId="0" applyFont="1" applyFill="1" applyAlignment="1">
      <alignment horizontal="left" vertical="center"/>
    </xf>
    <xf numFmtId="0" fontId="12" fillId="12" borderId="0" xfId="0" applyFont="1" applyFill="1" applyAlignment="1">
      <alignment vertical="center"/>
    </xf>
    <xf numFmtId="2" fontId="3" fillId="0" borderId="1" xfId="2" applyNumberFormat="1" applyFont="1" applyBorder="1" applyAlignment="1">
      <alignment horizontal="right"/>
    </xf>
    <xf numFmtId="0" fontId="0" fillId="12" borderId="0" xfId="0" applyFill="1"/>
    <xf numFmtId="0" fontId="9" fillId="12" borderId="0" xfId="0" applyFont="1" applyFill="1" applyAlignment="1">
      <alignment horizontal="right" vertical="center"/>
    </xf>
    <xf numFmtId="0" fontId="26" fillId="12" borderId="0" xfId="0" applyFont="1" applyFill="1" applyAlignment="1">
      <alignment vertical="center" wrapText="1"/>
    </xf>
    <xf numFmtId="0" fontId="10" fillId="12" borderId="0" xfId="0" applyFont="1" applyFill="1" applyAlignment="1">
      <alignment vertical="center"/>
    </xf>
    <xf numFmtId="0" fontId="10" fillId="12" borderId="0" xfId="0" applyFont="1" applyFill="1" applyAlignment="1">
      <alignment horizontal="center" vertical="center"/>
    </xf>
    <xf numFmtId="0" fontId="12" fillId="12" borderId="0" xfId="0" applyFont="1" applyFill="1" applyAlignment="1">
      <alignment horizontal="center" vertical="center"/>
    </xf>
    <xf numFmtId="0" fontId="12" fillId="12" borderId="0" xfId="0" applyFont="1" applyFill="1" applyAlignment="1">
      <alignment horizontal="left" vertical="center"/>
    </xf>
    <xf numFmtId="0" fontId="16" fillId="12" borderId="0" xfId="0" applyFont="1" applyFill="1" applyAlignment="1">
      <alignment horizontal="left" vertical="center" wrapText="1"/>
    </xf>
    <xf numFmtId="0" fontId="13" fillId="12" borderId="0" xfId="0" applyFont="1" applyFill="1" applyAlignment="1">
      <alignment vertical="center"/>
    </xf>
    <xf numFmtId="0" fontId="13" fillId="12" borderId="0" xfId="0" applyFont="1" applyFill="1" applyAlignment="1">
      <alignment horizontal="center" vertical="center"/>
    </xf>
    <xf numFmtId="9" fontId="12" fillId="0" borderId="1" xfId="2" applyFont="1" applyBorder="1" applyAlignment="1">
      <alignment horizontal="center" vertical="center"/>
    </xf>
    <xf numFmtId="3" fontId="12" fillId="5" borderId="0" xfId="0" applyNumberFormat="1" applyFont="1" applyFill="1" applyAlignment="1">
      <alignment vertical="center" wrapText="1"/>
    </xf>
    <xf numFmtId="9" fontId="12" fillId="0" borderId="1" xfId="0" applyNumberFormat="1" applyFont="1" applyBorder="1" applyAlignment="1">
      <alignment horizontal="center" vertical="center"/>
    </xf>
    <xf numFmtId="3" fontId="12" fillId="4" borderId="8" xfId="0" applyNumberFormat="1" applyFont="1" applyFill="1" applyBorder="1" applyAlignment="1">
      <alignment horizontal="center" vertical="center"/>
    </xf>
    <xf numFmtId="3" fontId="12" fillId="4" borderId="9" xfId="0" applyNumberFormat="1" applyFont="1" applyFill="1" applyBorder="1" applyAlignment="1">
      <alignment horizontal="center" vertical="center"/>
    </xf>
    <xf numFmtId="0" fontId="24" fillId="0" borderId="0" xfId="0" applyFont="1" applyAlignment="1">
      <alignment vertical="center"/>
    </xf>
    <xf numFmtId="0" fontId="8" fillId="0" borderId="0" xfId="0" applyFont="1" applyAlignment="1">
      <alignment vertical="center"/>
    </xf>
    <xf numFmtId="2" fontId="13" fillId="5" borderId="9" xfId="0" applyNumberFormat="1" applyFont="1" applyFill="1" applyBorder="1" applyAlignment="1">
      <alignment horizontal="center" vertical="center" wrapText="1"/>
    </xf>
    <xf numFmtId="2" fontId="13" fillId="5" borderId="0" xfId="0" applyNumberFormat="1" applyFont="1" applyFill="1" applyAlignment="1">
      <alignment horizontal="left" vertical="center" wrapText="1"/>
    </xf>
    <xf numFmtId="3" fontId="13" fillId="5" borderId="15" xfId="0" applyNumberFormat="1" applyFont="1" applyFill="1" applyBorder="1" applyAlignment="1">
      <alignment horizontal="center" vertical="center" wrapText="1"/>
    </xf>
    <xf numFmtId="3" fontId="30" fillId="5" borderId="0" xfId="0" applyNumberFormat="1" applyFont="1" applyFill="1" applyAlignment="1">
      <alignment horizontal="center" vertical="center"/>
    </xf>
    <xf numFmtId="9" fontId="30" fillId="5" borderId="0" xfId="0" applyNumberFormat="1" applyFont="1" applyFill="1" applyAlignment="1">
      <alignment horizontal="center" vertical="center"/>
    </xf>
    <xf numFmtId="3" fontId="13" fillId="5" borderId="15" xfId="0" applyNumberFormat="1" applyFont="1" applyFill="1" applyBorder="1" applyAlignment="1">
      <alignment horizontal="center" vertical="center"/>
    </xf>
    <xf numFmtId="0" fontId="12" fillId="13" borderId="0" xfId="0" applyFont="1" applyFill="1" applyAlignment="1">
      <alignment vertical="center"/>
    </xf>
    <xf numFmtId="0" fontId="12" fillId="0" borderId="1" xfId="0" applyFont="1" applyBorder="1" applyAlignment="1">
      <alignment horizontal="center" vertical="center"/>
    </xf>
    <xf numFmtId="165" fontId="0" fillId="0" borderId="0" xfId="0" applyNumberFormat="1"/>
    <xf numFmtId="0" fontId="0" fillId="0" borderId="0" xfId="0" applyAlignment="1">
      <alignment horizontal="left"/>
    </xf>
    <xf numFmtId="0" fontId="0" fillId="4" borderId="0" xfId="0" applyFill="1" applyAlignment="1">
      <alignment vertical="center" wrapText="1"/>
    </xf>
    <xf numFmtId="0" fontId="0" fillId="4" borderId="0" xfId="0" applyFill="1" applyAlignment="1">
      <alignment vertical="top"/>
    </xf>
    <xf numFmtId="165" fontId="31" fillId="0" borderId="1" xfId="0" applyNumberFormat="1" applyFont="1" applyBorder="1" applyAlignment="1">
      <alignment horizontal="center" vertical="center"/>
    </xf>
    <xf numFmtId="0" fontId="31" fillId="9" borderId="0" xfId="0" applyFont="1" applyFill="1" applyAlignment="1">
      <alignment vertical="center"/>
    </xf>
    <xf numFmtId="0" fontId="32" fillId="9" borderId="0" xfId="0" applyFont="1" applyFill="1" applyAlignment="1">
      <alignment horizontal="center" vertical="center"/>
    </xf>
    <xf numFmtId="0" fontId="32" fillId="9" borderId="0" xfId="0" applyFont="1" applyFill="1" applyAlignment="1">
      <alignment horizontal="left" vertical="center"/>
    </xf>
    <xf numFmtId="0" fontId="32" fillId="9" borderId="0" xfId="0" applyFont="1" applyFill="1" applyAlignment="1">
      <alignment vertical="center"/>
    </xf>
    <xf numFmtId="0" fontId="33" fillId="9" borderId="0" xfId="0" applyFont="1" applyFill="1" applyAlignment="1">
      <alignment horizontal="left" vertical="center" wrapText="1"/>
    </xf>
    <xf numFmtId="0" fontId="34" fillId="9" borderId="0" xfId="0" applyFont="1" applyFill="1" applyAlignment="1">
      <alignment vertical="center"/>
    </xf>
    <xf numFmtId="0" fontId="34" fillId="9" borderId="0" xfId="0" applyFont="1" applyFill="1" applyAlignment="1">
      <alignment horizontal="center" vertical="center"/>
    </xf>
    <xf numFmtId="0" fontId="4" fillId="0" borderId="0" xfId="0" applyFont="1"/>
    <xf numFmtId="0" fontId="4" fillId="0" borderId="0" xfId="0" applyFont="1" applyAlignment="1">
      <alignment horizontal="left"/>
    </xf>
    <xf numFmtId="0" fontId="4" fillId="0" borderId="0" xfId="0" applyFont="1" applyAlignment="1">
      <alignment horizontal="center" wrapText="1"/>
    </xf>
    <xf numFmtId="0" fontId="4" fillId="0" borderId="0" xfId="0" applyFont="1" applyAlignment="1">
      <alignment horizontal="center"/>
    </xf>
    <xf numFmtId="0" fontId="35" fillId="0" borderId="0" xfId="0" applyFont="1"/>
    <xf numFmtId="0" fontId="35" fillId="0" borderId="0" xfId="0" applyFont="1" applyAlignment="1">
      <alignment horizontal="center"/>
    </xf>
    <xf numFmtId="0" fontId="6" fillId="12" borderId="0" xfId="0" applyFont="1" applyFill="1" applyAlignment="1">
      <alignment vertical="top"/>
    </xf>
    <xf numFmtId="0" fontId="0" fillId="12" borderId="0" xfId="0" applyFill="1" applyAlignment="1">
      <alignment vertical="top"/>
    </xf>
    <xf numFmtId="0" fontId="11" fillId="9" borderId="0" xfId="0" applyFont="1" applyFill="1" applyAlignment="1">
      <alignment vertical="top"/>
    </xf>
    <xf numFmtId="0" fontId="0" fillId="4" borderId="1" xfId="0" applyFill="1" applyBorder="1" applyAlignment="1">
      <alignment horizontal="centerContinuous" vertical="top"/>
    </xf>
    <xf numFmtId="0" fontId="0" fillId="2" borderId="1" xfId="0" applyFill="1" applyBorder="1" applyAlignment="1">
      <alignment vertical="top"/>
    </xf>
    <xf numFmtId="3" fontId="13" fillId="12" borderId="1" xfId="0" applyNumberFormat="1" applyFont="1" applyFill="1" applyBorder="1" applyAlignment="1">
      <alignment horizontal="center" vertical="top"/>
    </xf>
    <xf numFmtId="0" fontId="11" fillId="12" borderId="0" xfId="0" applyFont="1" applyFill="1" applyAlignment="1">
      <alignment vertical="top"/>
    </xf>
    <xf numFmtId="0" fontId="12" fillId="9" borderId="0" xfId="0" applyFont="1" applyFill="1" applyAlignment="1">
      <alignment horizontal="center" vertical="top"/>
    </xf>
    <xf numFmtId="0" fontId="32" fillId="9" borderId="0" xfId="0" applyFont="1" applyFill="1" applyAlignment="1">
      <alignment horizontal="center" vertical="top"/>
    </xf>
    <xf numFmtId="0" fontId="12" fillId="12" borderId="0" xfId="0" applyFont="1" applyFill="1" applyAlignment="1">
      <alignment horizontal="center" vertical="top"/>
    </xf>
    <xf numFmtId="0" fontId="23" fillId="9" borderId="0" xfId="0" applyFont="1" applyFill="1" applyAlignment="1">
      <alignment vertical="top"/>
    </xf>
    <xf numFmtId="0" fontId="36" fillId="9" borderId="0" xfId="0" applyFont="1" applyFill="1" applyAlignment="1">
      <alignment vertical="top"/>
    </xf>
    <xf numFmtId="0" fontId="37" fillId="9" borderId="0" xfId="0" applyFont="1" applyFill="1" applyAlignment="1">
      <alignment horizontal="center" vertical="top"/>
    </xf>
    <xf numFmtId="0" fontId="37" fillId="9" borderId="0" xfId="0" applyFont="1" applyFill="1" applyAlignment="1">
      <alignment horizontal="left" vertical="center"/>
    </xf>
    <xf numFmtId="0" fontId="37" fillId="9" borderId="0" xfId="0" applyFont="1" applyFill="1" applyAlignment="1">
      <alignment vertical="center"/>
    </xf>
    <xf numFmtId="0" fontId="37" fillId="9" borderId="0" xfId="0" applyFont="1" applyFill="1" applyAlignment="1">
      <alignment horizontal="center" vertical="center"/>
    </xf>
    <xf numFmtId="0" fontId="38" fillId="9" borderId="0" xfId="0" applyFont="1" applyFill="1" applyAlignment="1">
      <alignment horizontal="left" vertical="center" wrapText="1"/>
    </xf>
    <xf numFmtId="0" fontId="39" fillId="9" borderId="0" xfId="0" applyFont="1" applyFill="1" applyAlignment="1">
      <alignment vertical="center"/>
    </xf>
    <xf numFmtId="0" fontId="39" fillId="9" borderId="0" xfId="0" applyFont="1" applyFill="1" applyAlignment="1">
      <alignment horizontal="center" vertical="center"/>
    </xf>
    <xf numFmtId="0" fontId="0" fillId="12" borderId="0" xfId="0" applyFill="1" applyAlignment="1">
      <alignment horizontal="left" vertical="top" wrapText="1"/>
    </xf>
    <xf numFmtId="0" fontId="3" fillId="0" borderId="0" xfId="0" applyFont="1" applyAlignment="1">
      <alignment vertical="top"/>
    </xf>
    <xf numFmtId="0" fontId="4" fillId="0" borderId="0" xfId="0" applyFont="1" applyAlignment="1">
      <alignment horizontal="right" vertical="center"/>
    </xf>
    <xf numFmtId="3" fontId="4" fillId="0" borderId="1" xfId="0" applyNumberFormat="1" applyFont="1" applyBorder="1" applyAlignment="1">
      <alignment horizontal="center" vertical="center"/>
    </xf>
    <xf numFmtId="0" fontId="4" fillId="0" borderId="0" xfId="0" applyFont="1" applyAlignment="1">
      <alignment horizontal="left" vertical="center"/>
    </xf>
    <xf numFmtId="165" fontId="13" fillId="5" borderId="1" xfId="0" applyNumberFormat="1" applyFont="1" applyFill="1" applyBorder="1" applyAlignment="1">
      <alignment horizontal="center" vertical="center"/>
    </xf>
    <xf numFmtId="0" fontId="16" fillId="2" borderId="0" xfId="0" applyFont="1" applyFill="1" applyAlignment="1">
      <alignment horizontal="left" vertical="center"/>
    </xf>
    <xf numFmtId="0" fontId="12" fillId="6" borderId="1" xfId="0" applyFont="1" applyFill="1" applyBorder="1" applyAlignment="1">
      <alignment horizontal="center" vertical="center"/>
    </xf>
    <xf numFmtId="0" fontId="12" fillId="4" borderId="0" xfId="0" applyFont="1" applyFill="1" applyAlignment="1">
      <alignment horizontal="center" vertical="top"/>
    </xf>
    <xf numFmtId="0" fontId="7" fillId="0" borderId="0" xfId="3" applyAlignment="1">
      <alignment vertical="top"/>
    </xf>
    <xf numFmtId="2" fontId="0" fillId="4" borderId="0" xfId="0" applyNumberFormat="1" applyFill="1" applyAlignment="1">
      <alignment vertical="top"/>
    </xf>
    <xf numFmtId="165" fontId="0" fillId="4" borderId="0" xfId="0" applyNumberFormat="1" applyFill="1" applyAlignment="1">
      <alignment vertical="top"/>
    </xf>
    <xf numFmtId="165" fontId="12" fillId="0" borderId="1" xfId="0" applyNumberFormat="1" applyFont="1" applyBorder="1" applyAlignment="1">
      <alignment horizontal="center" vertical="center" wrapText="1"/>
    </xf>
    <xf numFmtId="0" fontId="7" fillId="0" borderId="0" xfId="3" applyFill="1" applyAlignment="1">
      <alignment horizontal="left" vertical="top"/>
    </xf>
    <xf numFmtId="0" fontId="4" fillId="0" borderId="0" xfId="0" applyFont="1" applyAlignment="1">
      <alignment horizontal="left" wrapText="1"/>
    </xf>
    <xf numFmtId="169" fontId="0" fillId="0" borderId="0" xfId="0" applyNumberFormat="1" applyAlignment="1">
      <alignment horizontal="left" vertical="top"/>
    </xf>
    <xf numFmtId="14" fontId="12" fillId="0" borderId="0" xfId="0" applyNumberFormat="1" applyFont="1" applyAlignment="1">
      <alignment horizontal="left" vertical="center"/>
    </xf>
    <xf numFmtId="14" fontId="9" fillId="0" borderId="0" xfId="0" applyNumberFormat="1" applyFont="1" applyAlignment="1">
      <alignment horizontal="left" vertical="center"/>
    </xf>
    <xf numFmtId="14" fontId="4" fillId="0" borderId="0" xfId="0" applyNumberFormat="1" applyFont="1" applyAlignment="1">
      <alignment wrapText="1"/>
    </xf>
    <xf numFmtId="14" fontId="12" fillId="0" borderId="0" xfId="0" applyNumberFormat="1" applyFont="1" applyAlignment="1">
      <alignment vertical="top"/>
    </xf>
    <xf numFmtId="14" fontId="4" fillId="0" borderId="0" xfId="0" applyNumberFormat="1" applyFont="1"/>
    <xf numFmtId="169" fontId="12" fillId="0" borderId="0" xfId="0" applyNumberFormat="1" applyFont="1" applyAlignment="1">
      <alignment vertical="top"/>
    </xf>
    <xf numFmtId="0" fontId="4" fillId="0" borderId="0" xfId="0" applyFont="1" applyAlignment="1">
      <alignment wrapText="1"/>
    </xf>
    <xf numFmtId="14" fontId="0" fillId="0" borderId="0" xfId="0" applyNumberFormat="1" applyAlignment="1">
      <alignment vertical="top"/>
    </xf>
    <xf numFmtId="14" fontId="0" fillId="0" borderId="0" xfId="0" applyNumberFormat="1"/>
    <xf numFmtId="169" fontId="0" fillId="0" borderId="0" xfId="0" applyNumberFormat="1" applyAlignment="1">
      <alignment vertical="top"/>
    </xf>
    <xf numFmtId="0" fontId="0" fillId="12" borderId="0" xfId="0" applyFill="1" applyAlignment="1">
      <alignment horizontal="left" vertical="top" wrapText="1"/>
    </xf>
    <xf numFmtId="0" fontId="0" fillId="12" borderId="0" xfId="0" quotePrefix="1" applyFill="1" applyAlignment="1">
      <alignment horizontal="left" vertical="top" wrapText="1"/>
    </xf>
    <xf numFmtId="0" fontId="0" fillId="12" borderId="0" xfId="0" applyFill="1" applyAlignment="1">
      <alignment horizontal="left" vertical="top"/>
    </xf>
    <xf numFmtId="0" fontId="0" fillId="0" borderId="0" xfId="0" applyAlignment="1">
      <alignment horizontal="left" vertical="top" wrapText="1"/>
    </xf>
    <xf numFmtId="0" fontId="0" fillId="12" borderId="0" xfId="0" quotePrefix="1" applyFill="1" applyAlignment="1">
      <alignment horizontal="left" vertical="top"/>
    </xf>
    <xf numFmtId="0" fontId="3" fillId="11" borderId="1" xfId="0" applyFont="1" applyFill="1" applyBorder="1" applyAlignment="1">
      <alignment horizontal="center" wrapText="1"/>
    </xf>
    <xf numFmtId="0" fontId="3" fillId="2" borderId="1" xfId="0" applyFont="1" applyFill="1" applyBorder="1" applyAlignment="1">
      <alignment horizontal="center" wrapText="1"/>
    </xf>
    <xf numFmtId="0" fontId="3" fillId="3" borderId="1" xfId="0" applyFont="1" applyFill="1" applyBorder="1" applyAlignment="1">
      <alignment horizontal="center" wrapText="1"/>
    </xf>
    <xf numFmtId="0" fontId="3" fillId="4" borderId="1" xfId="0" applyFont="1" applyFill="1" applyBorder="1" applyAlignment="1">
      <alignment horizontal="center"/>
    </xf>
    <xf numFmtId="0" fontId="3" fillId="10" borderId="1" xfId="0" applyFont="1" applyFill="1" applyBorder="1" applyAlignment="1">
      <alignment horizontal="center" wrapText="1"/>
    </xf>
    <xf numFmtId="0" fontId="3" fillId="8" borderId="1" xfId="0" applyFont="1" applyFill="1" applyBorder="1" applyAlignment="1">
      <alignment horizontal="center" wrapText="1"/>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1" xfId="0" applyFont="1" applyFill="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wrapText="1"/>
    </xf>
    <xf numFmtId="0" fontId="3" fillId="0" borderId="0" xfId="0" applyFont="1" applyAlignment="1">
      <alignment horizontal="left"/>
    </xf>
    <xf numFmtId="0" fontId="3" fillId="0" borderId="0" xfId="0" applyFont="1" applyAlignment="1">
      <alignment wrapText="1"/>
    </xf>
    <xf numFmtId="0" fontId="0" fillId="0" borderId="0" xfId="0" applyAlignment="1">
      <alignment wrapText="1"/>
    </xf>
    <xf numFmtId="49" fontId="0" fillId="0" borderId="0" xfId="0" applyNumberFormat="1" applyAlignment="1">
      <alignment horizontal="left" vertical="top"/>
    </xf>
    <xf numFmtId="14" fontId="0" fillId="0" borderId="0" xfId="0" applyNumberFormat="1" applyAlignment="1">
      <alignment horizontal="left" vertical="top"/>
    </xf>
    <xf numFmtId="0" fontId="0" fillId="0" borderId="0" xfId="0" applyAlignment="1">
      <alignment vertical="top" wrapText="1"/>
    </xf>
  </cellXfs>
  <cellStyles count="4">
    <cellStyle name="Comma" xfId="1" builtinId="3"/>
    <cellStyle name="Hyperlink" xfId="3" builtinId="8"/>
    <cellStyle name="Normal" xfId="0" builtinId="0"/>
    <cellStyle name="Percent" xfId="2" builtinId="5"/>
  </cellStyles>
  <dxfs count="177">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79998168889431442"/>
        </patternFill>
      </fill>
      <border>
        <left style="thin">
          <color auto="1"/>
        </left>
        <right style="thin">
          <color auto="1"/>
        </right>
        <top style="thin">
          <color auto="1"/>
        </top>
        <bottom style="thin">
          <color auto="1"/>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79998168889431442"/>
        </patternFill>
      </fill>
      <border>
        <left style="thin">
          <color auto="1"/>
        </left>
        <right style="thin">
          <color auto="1"/>
        </right>
        <top style="thin">
          <color auto="1"/>
        </top>
        <bottom style="thin">
          <color auto="1"/>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79998168889431442"/>
        </patternFill>
      </fill>
      <border>
        <left style="thin">
          <color auto="1"/>
        </left>
        <right style="thin">
          <color auto="1"/>
        </right>
        <top style="thin">
          <color auto="1"/>
        </top>
        <bottom style="thin">
          <color auto="1"/>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79998168889431442"/>
        </patternFill>
      </fill>
      <border>
        <left style="thin">
          <color auto="1"/>
        </left>
        <right style="thin">
          <color auto="1"/>
        </right>
        <top style="thin">
          <color auto="1"/>
        </top>
        <bottom style="thin">
          <color auto="1"/>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79998168889431442"/>
        </patternFill>
      </fill>
      <border>
        <left style="thin">
          <color auto="1"/>
        </left>
        <right style="thin">
          <color auto="1"/>
        </right>
        <top style="thin">
          <color auto="1"/>
        </top>
        <bottom style="thin">
          <color auto="1"/>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2"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79998168889431442"/>
        </patternFill>
      </fill>
      <border>
        <left style="thin">
          <color auto="1"/>
        </left>
        <right style="thin">
          <color auto="1"/>
        </right>
        <top style="thin">
          <color auto="1"/>
        </top>
        <bottom style="thin">
          <color auto="1"/>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CC"/>
      <color rgb="FFBDEE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'Kohdetiedot ja yhteenveto'!$F$19</c:f>
              <c:strCache>
                <c:ptCount val="1"/>
                <c:pt idx="0">
                  <c:v>Kokonais-
päästöt</c:v>
                </c:pt>
              </c:strCache>
            </c:strRef>
          </c:tx>
          <c:spPr>
            <a:solidFill>
              <a:schemeClr val="tx2"/>
            </a:solidFill>
            <a:ln>
              <a:noFill/>
            </a:ln>
            <a:effectLst/>
          </c:spPr>
          <c:invertIfNegative val="0"/>
          <c:cat>
            <c:strRef>
              <c:f>'Kohdetiedot ja yhteenveto'!$B$21:$B$27</c:f>
              <c:strCache>
                <c:ptCount val="7"/>
                <c:pt idx="0">
                  <c:v>Massanvaihto ja aumakäsittely:</c:v>
                </c:pt>
                <c:pt idx="1">
                  <c:v>Eristäminen:</c:v>
                </c:pt>
                <c:pt idx="2">
                  <c:v>Injektoinnit:</c:v>
                </c:pt>
                <c:pt idx="3">
                  <c:v>Termiset menetelmät:</c:v>
                </c:pt>
                <c:pt idx="4">
                  <c:v>Huokosilmakäsittely:</c:v>
                </c:pt>
                <c:pt idx="5">
                  <c:v>Fytoremediaatio:</c:v>
                </c:pt>
                <c:pt idx="6">
                  <c:v>Luontaisen hajoamisen seuranta:</c:v>
                </c:pt>
              </c:strCache>
            </c:strRef>
          </c:cat>
          <c:val>
            <c:numRef>
              <c:f>'Kohdetiedot ja yhteenveto'!$F$21:$F$27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285E-448E-ACB0-00BA7F6FC1ED}"/>
            </c:ext>
          </c:extLst>
        </c:ser>
        <c:dLbls>
          <c:showLegendKey val="0"/>
          <c:showVal val="0"/>
          <c:showCatName val="0"/>
          <c:showSerName val="0"/>
          <c:showPercent val="0"/>
          <c:showBubbleSize val="0"/>
        </c:dLbls>
        <c:gapWidth val="37"/>
        <c:axId val="91985536"/>
        <c:axId val="383495808"/>
      </c:barChart>
      <c:catAx>
        <c:axId val="91985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i-FI"/>
          </a:p>
        </c:txPr>
        <c:crossAx val="383495808"/>
        <c:crosses val="autoZero"/>
        <c:auto val="1"/>
        <c:lblAlgn val="ctr"/>
        <c:lblOffset val="100"/>
        <c:noMultiLvlLbl val="0"/>
      </c:catAx>
      <c:valAx>
        <c:axId val="383495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i-FI"/>
          </a:p>
        </c:txPr>
        <c:crossAx val="91985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4.8671611952861973E-2"/>
          <c:y val="3.3333333333333333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0.52329787457912458"/>
          <c:y val="8.1944444444444445E-2"/>
          <c:w val="0.42627314814814815"/>
          <c:h val="0.86250000000000004"/>
        </c:manualLayout>
      </c:layout>
      <c:pieChart>
        <c:varyColors val="1"/>
        <c:ser>
          <c:idx val="0"/>
          <c:order val="0"/>
          <c:tx>
            <c:v>Päästöjen jakautuminen</c:v>
          </c:tx>
          <c:dPt>
            <c:idx val="0"/>
            <c:bubble3D val="0"/>
            <c:spPr>
              <a:solidFill>
                <a:schemeClr val="accent4"/>
              </a:solidFill>
              <a:ln w="15875" cap="rnd">
                <a:solidFill>
                  <a:schemeClr val="lt1"/>
                </a:solidFill>
              </a:ln>
              <a:effectLst/>
            </c:spPr>
            <c:extLst>
              <c:ext xmlns:c16="http://schemas.microsoft.com/office/drawing/2014/chart" uri="{C3380CC4-5D6E-409C-BE32-E72D297353CC}">
                <c16:uniqueId val="{00000001-E20E-4092-AD28-4F51318DC870}"/>
              </c:ext>
            </c:extLst>
          </c:dPt>
          <c:dPt>
            <c:idx val="1"/>
            <c:bubble3D val="0"/>
            <c:spPr>
              <a:solidFill>
                <a:schemeClr val="bg2">
                  <a:lumMod val="60000"/>
                  <a:lumOff val="40000"/>
                </a:schemeClr>
              </a:solidFill>
              <a:ln w="19050">
                <a:solidFill>
                  <a:schemeClr val="lt1"/>
                </a:solidFill>
              </a:ln>
              <a:effectLst/>
            </c:spPr>
            <c:extLst>
              <c:ext xmlns:c16="http://schemas.microsoft.com/office/drawing/2014/chart" uri="{C3380CC4-5D6E-409C-BE32-E72D297353CC}">
                <c16:uniqueId val="{00000003-E20E-4092-AD28-4F51318DC870}"/>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5-E20E-4092-AD28-4F51318DC870}"/>
              </c:ext>
            </c:extLst>
          </c:dPt>
          <c:dPt>
            <c:idx val="3"/>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7-E20E-4092-AD28-4F51318DC870}"/>
              </c:ext>
            </c:extLst>
          </c:dPt>
          <c:dPt>
            <c:idx val="4"/>
            <c:bubble3D val="0"/>
            <c:spPr>
              <a:solidFill>
                <a:schemeClr val="tx1"/>
              </a:solidFill>
              <a:ln w="19050">
                <a:solidFill>
                  <a:schemeClr val="lt1"/>
                </a:solidFill>
              </a:ln>
              <a:effectLst/>
            </c:spPr>
            <c:extLst>
              <c:ext xmlns:c16="http://schemas.microsoft.com/office/drawing/2014/chart" uri="{C3380CC4-5D6E-409C-BE32-E72D297353CC}">
                <c16:uniqueId val="{00000009-E20E-4092-AD28-4F51318DC870}"/>
              </c:ext>
            </c:extLst>
          </c:dPt>
          <c:dPt>
            <c:idx val="5"/>
            <c:bubble3D val="0"/>
            <c:spPr>
              <a:solidFill>
                <a:srgbClr val="00B0F0"/>
              </a:solidFill>
              <a:ln w="19050">
                <a:solidFill>
                  <a:schemeClr val="lt1"/>
                </a:solidFill>
              </a:ln>
              <a:effectLst/>
            </c:spPr>
            <c:extLst>
              <c:ext xmlns:c16="http://schemas.microsoft.com/office/drawing/2014/chart" uri="{C3380CC4-5D6E-409C-BE32-E72D297353CC}">
                <c16:uniqueId val="{0000000B-E20E-4092-AD28-4F51318DC870}"/>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effectLst>
                      <a:glow rad="76200">
                        <a:schemeClr val="bg1"/>
                      </a:glow>
                    </a:effectLst>
                    <a:latin typeface="+mn-lt"/>
                    <a:ea typeface="+mn-ea"/>
                    <a:cs typeface="+mn-cs"/>
                  </a:defRPr>
                </a:pPr>
                <a:endParaRPr lang="fi-FI"/>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('Kohdetiedot ja yhteenveto'!$H$19,'Kohdetiedot ja yhteenveto'!$J$19,'Kohdetiedot ja yhteenveto'!$L$19,'Kohdetiedot ja yhteenveto'!$N$19,'Kohdetiedot ja yhteenveto'!$P$19,'Kohdetiedot ja yhteenveto'!$R$19)</c:f>
              <c:strCache>
                <c:ptCount val="6"/>
                <c:pt idx="0">
                  <c:v>Materiaalit</c:v>
                </c:pt>
                <c:pt idx="1">
                  <c:v>Kuljetukset</c:v>
                </c:pt>
                <c:pt idx="2">
                  <c:v>Työkoneet</c:v>
                </c:pt>
                <c:pt idx="3">
                  <c:v>Puhdistuksen energiankäyttö
(muut kuin työkoneet)</c:v>
                </c:pt>
                <c:pt idx="4">
                  <c:v>Jätteet</c:v>
                </c:pt>
                <c:pt idx="5">
                  <c:v>Muut (ml. vesien viemäröinti ja työasiamatkat)</c:v>
                </c:pt>
              </c:strCache>
            </c:strRef>
          </c:cat>
          <c:val>
            <c:numRef>
              <c:f>('Kohdetiedot ja yhteenveto'!$H$28,'Kohdetiedot ja yhteenveto'!$J$28,'Kohdetiedot ja yhteenveto'!$L$28,'Kohdetiedot ja yhteenveto'!$N$28,'Kohdetiedot ja yhteenveto'!$P$28,'Kohdetiedot ja yhteenveto'!$R$28)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E20E-4092-AD28-4F51318DC870}"/>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2.8350904882154884E-2"/>
          <c:y val="0.20929046369203852"/>
          <c:w val="0.45985406144781144"/>
          <c:h val="0.62864129483814524"/>
        </c:manualLayout>
      </c:layout>
      <c:overlay val="0"/>
      <c:spPr>
        <a:noFill/>
        <a:ln>
          <a:noFill/>
        </a:ln>
        <a:effectLst>
          <a:outerShdw blurRad="50800" dist="50800" dir="5400000" sx="1000" sy="1000" algn="ctr" rotWithShape="0">
            <a:srgbClr val="000000">
              <a:alpha val="43137"/>
            </a:srgbClr>
          </a:outerShdw>
        </a:effectLst>
      </c:spPr>
      <c:txPr>
        <a:bodyPr rot="0" spcFirstLastPara="1" vertOverflow="ellipsis" vert="horz" wrap="square" anchor="ctr" anchorCtr="1"/>
        <a:lstStyle/>
        <a:p>
          <a:pPr>
            <a:defRPr sz="1600" b="0" i="0" u="none" strike="noStrike" kern="1200" spc="-50" baseline="0">
              <a:solidFill>
                <a:schemeClr val="tx1">
                  <a:lumMod val="65000"/>
                  <a:lumOff val="3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3810000</xdr:colOff>
      <xdr:row>0</xdr:row>
      <xdr:rowOff>76200</xdr:rowOff>
    </xdr:from>
    <xdr:to>
      <xdr:col>2</xdr:col>
      <xdr:colOff>6587069</xdr:colOff>
      <xdr:row>3</xdr:row>
      <xdr:rowOff>105410</xdr:rowOff>
    </xdr:to>
    <xdr:pic>
      <xdr:nvPicPr>
        <xdr:cNvPr id="3" name="Picture 2">
          <a:extLst>
            <a:ext uri="{FF2B5EF4-FFF2-40B4-BE49-F238E27FC236}">
              <a16:creationId xmlns:a16="http://schemas.microsoft.com/office/drawing/2014/main" id="{7443F78D-0681-7FFE-69A7-C70D077868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5900" y="76200"/>
          <a:ext cx="2770719" cy="971550"/>
        </a:xfrm>
        <a:prstGeom prst="rect">
          <a:avLst/>
        </a:prstGeom>
      </xdr:spPr>
    </xdr:pic>
    <xdr:clientData/>
  </xdr:twoCellAnchor>
  <xdr:twoCellAnchor editAs="oneCell">
    <xdr:from>
      <xdr:col>2</xdr:col>
      <xdr:colOff>6962776</xdr:colOff>
      <xdr:row>1</xdr:row>
      <xdr:rowOff>57150</xdr:rowOff>
    </xdr:from>
    <xdr:to>
      <xdr:col>2</xdr:col>
      <xdr:colOff>9185276</xdr:colOff>
      <xdr:row>2</xdr:row>
      <xdr:rowOff>374044</xdr:rowOff>
    </xdr:to>
    <xdr:pic>
      <xdr:nvPicPr>
        <xdr:cNvPr id="5" name="Picture 4">
          <a:extLst>
            <a:ext uri="{FF2B5EF4-FFF2-40B4-BE49-F238E27FC236}">
              <a16:creationId xmlns:a16="http://schemas.microsoft.com/office/drawing/2014/main" id="{E461B161-F09F-DF63-AC3B-23DA3D99F5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48676" y="238125"/>
          <a:ext cx="2228850" cy="6877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133348</xdr:colOff>
      <xdr:row>29</xdr:row>
      <xdr:rowOff>9523</xdr:rowOff>
    </xdr:from>
    <xdr:to>
      <xdr:col>9</xdr:col>
      <xdr:colOff>304648</xdr:colOff>
      <xdr:row>54</xdr:row>
      <xdr:rowOff>93148</xdr:rowOff>
    </xdr:to>
    <xdr:graphicFrame macro="">
      <xdr:nvGraphicFramePr>
        <xdr:cNvPr id="2" name="Chart 1">
          <a:extLst>
            <a:ext uri="{FF2B5EF4-FFF2-40B4-BE49-F238E27FC236}">
              <a16:creationId xmlns:a16="http://schemas.microsoft.com/office/drawing/2014/main" id="{A6B8392B-2B24-4716-A100-C3196A6EA2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428625</xdr:colOff>
      <xdr:row>29</xdr:row>
      <xdr:rowOff>9523</xdr:rowOff>
    </xdr:from>
    <xdr:to>
      <xdr:col>18</xdr:col>
      <xdr:colOff>847575</xdr:colOff>
      <xdr:row>54</xdr:row>
      <xdr:rowOff>93148</xdr:rowOff>
    </xdr:to>
    <xdr:graphicFrame macro="">
      <xdr:nvGraphicFramePr>
        <xdr:cNvPr id="3" name="Chart 2">
          <a:extLst>
            <a:ext uri="{FF2B5EF4-FFF2-40B4-BE49-F238E27FC236}">
              <a16:creationId xmlns:a16="http://schemas.microsoft.com/office/drawing/2014/main" id="{DB884B39-D2E9-4D2B-85CC-B91EC2E79D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6</xdr:col>
      <xdr:colOff>838200</xdr:colOff>
      <xdr:row>5</xdr:row>
      <xdr:rowOff>9525</xdr:rowOff>
    </xdr:from>
    <xdr:to>
      <xdr:col>18</xdr:col>
      <xdr:colOff>206375</xdr:colOff>
      <xdr:row>15</xdr:row>
      <xdr:rowOff>31750</xdr:rowOff>
    </xdr:to>
    <xdr:sp macro="" textlink="">
      <xdr:nvSpPr>
        <xdr:cNvPr id="4" name="TextBox 3">
          <a:extLst>
            <a:ext uri="{FF2B5EF4-FFF2-40B4-BE49-F238E27FC236}">
              <a16:creationId xmlns:a16="http://schemas.microsoft.com/office/drawing/2014/main" id="{4E1C5315-B5F8-B72E-6237-51D739B80F69}"/>
            </a:ext>
          </a:extLst>
        </xdr:cNvPr>
        <xdr:cNvSpPr txBox="1"/>
      </xdr:nvSpPr>
      <xdr:spPr>
        <a:xfrm>
          <a:off x="7229475" y="1171575"/>
          <a:ext cx="10712450" cy="227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200" b="0" i="0" u="none" strike="noStrike">
              <a:solidFill>
                <a:schemeClr val="dk1"/>
              </a:solidFill>
              <a:effectLst/>
              <a:latin typeface="+mn-lt"/>
              <a:ea typeface="+mn-ea"/>
              <a:cs typeface="+mn-cs"/>
            </a:rPr>
            <a:t>Tärkeimmät laskentatyökalun oletusarvojen tietolähteet:</a:t>
          </a:r>
          <a:endParaRPr lang="fi-FI" sz="1200"/>
        </a:p>
        <a:p>
          <a:endParaRPr lang="fi-FI" sz="1200" b="0" i="0" u="none" strike="noStrike">
            <a:solidFill>
              <a:schemeClr val="dk1"/>
            </a:solidFill>
            <a:effectLst/>
            <a:latin typeface="+mn-lt"/>
            <a:ea typeface="+mn-ea"/>
            <a:cs typeface="+mn-cs"/>
          </a:endParaRPr>
        </a:p>
        <a:p>
          <a:r>
            <a:rPr lang="fi-FI" sz="1200" b="0" i="0" u="none" strike="noStrike">
              <a:solidFill>
                <a:schemeClr val="dk1"/>
              </a:solidFill>
              <a:effectLst/>
              <a:latin typeface="+mn-lt"/>
              <a:ea typeface="+mn-ea"/>
              <a:cs typeface="+mn-cs"/>
            </a:rPr>
            <a:t>- kuljetusten ja työkoneiden päästökertoimet: Suomen ympäristökeskuksen CO2data.fi-palvelu ja merikuljetuksissa EcoTransitIT-palvelu</a:t>
          </a:r>
          <a:br>
            <a:rPr lang="fi-FI" sz="1200" b="0" i="0" u="none" strike="noStrike">
              <a:solidFill>
                <a:schemeClr val="dk1"/>
              </a:solidFill>
              <a:effectLst/>
              <a:latin typeface="+mn-lt"/>
              <a:ea typeface="+mn-ea"/>
              <a:cs typeface="+mn-cs"/>
            </a:rPr>
          </a:br>
          <a:r>
            <a:rPr lang="fi-FI" sz="1200" b="0" i="0" u="none" strike="noStrike">
              <a:solidFill>
                <a:schemeClr val="dk1"/>
              </a:solidFill>
              <a:effectLst/>
              <a:latin typeface="+mn-lt"/>
              <a:ea typeface="+mn-ea"/>
              <a:cs typeface="+mn-cs"/>
            </a:rPr>
            <a:t>- työkonetuntimäärien oletusarvot: Rakennustiedon Ratu-kortisto</a:t>
          </a:r>
          <a:br>
            <a:rPr lang="fi-FI" sz="1200" b="0" i="0" u="none" strike="noStrike">
              <a:solidFill>
                <a:schemeClr val="dk1"/>
              </a:solidFill>
              <a:effectLst/>
              <a:latin typeface="+mn-lt"/>
              <a:ea typeface="+mn-ea"/>
              <a:cs typeface="+mn-cs"/>
            </a:rPr>
          </a:br>
          <a:r>
            <a:rPr lang="fi-FI" sz="1200" b="0" i="0" u="none" strike="noStrike">
              <a:solidFill>
                <a:schemeClr val="dk1"/>
              </a:solidFill>
              <a:effectLst/>
              <a:latin typeface="+mn-lt"/>
              <a:ea typeface="+mn-ea"/>
              <a:cs typeface="+mn-cs"/>
            </a:rPr>
            <a:t>- puhdistusmenetelmien laitteiden energiankäyttö: CO2data.fi</a:t>
          </a:r>
          <a:br>
            <a:rPr lang="fi-FI" sz="1200" b="0" i="0" u="none" strike="noStrike">
              <a:solidFill>
                <a:schemeClr val="dk1"/>
              </a:solidFill>
              <a:effectLst/>
              <a:latin typeface="+mn-lt"/>
              <a:ea typeface="+mn-ea"/>
              <a:cs typeface="+mn-cs"/>
            </a:rPr>
          </a:br>
          <a:r>
            <a:rPr lang="fi-FI" sz="1200" b="0" i="0" u="none" strike="noStrike">
              <a:solidFill>
                <a:schemeClr val="dk1"/>
              </a:solidFill>
              <a:effectLst/>
              <a:latin typeface="+mn-lt"/>
              <a:ea typeface="+mn-ea"/>
              <a:cs typeface="+mn-cs"/>
            </a:rPr>
            <a:t>- kemikaalit ja muut puhdistusmenetelmien aineet ja materiaalit: CO2data.fi ja valmistajien ympäristöselostetiedostot</a:t>
          </a:r>
          <a:br>
            <a:rPr lang="fi-FI" sz="1200" b="0" i="0" u="none" strike="noStrike">
              <a:solidFill>
                <a:schemeClr val="dk1"/>
              </a:solidFill>
              <a:effectLst/>
              <a:latin typeface="+mn-lt"/>
              <a:ea typeface="+mn-ea"/>
              <a:cs typeface="+mn-cs"/>
            </a:rPr>
          </a:br>
          <a:r>
            <a:rPr lang="fi-FI" sz="1200" b="0" i="0" u="none" strike="noStrike">
              <a:solidFill>
                <a:schemeClr val="dk1"/>
              </a:solidFill>
              <a:effectLst/>
              <a:latin typeface="+mn-lt"/>
              <a:ea typeface="+mn-ea"/>
              <a:cs typeface="+mn-cs"/>
            </a:rPr>
            <a:t>- erilaiset rakennusmateriaalit: CO2data.fi</a:t>
          </a:r>
          <a:br>
            <a:rPr lang="fi-FI" sz="1200" b="0" i="0" u="none" strike="noStrike">
              <a:solidFill>
                <a:schemeClr val="dk1"/>
              </a:solidFill>
              <a:effectLst/>
              <a:latin typeface="+mn-lt"/>
              <a:ea typeface="+mn-ea"/>
              <a:cs typeface="+mn-cs"/>
            </a:rPr>
          </a:br>
          <a:r>
            <a:rPr lang="fi-FI" sz="1200" b="0" i="0" u="none" strike="noStrike">
              <a:solidFill>
                <a:schemeClr val="dk1"/>
              </a:solidFill>
              <a:effectLst/>
              <a:latin typeface="+mn-lt"/>
              <a:ea typeface="+mn-ea"/>
              <a:cs typeface="+mn-cs"/>
            </a:rPr>
            <a:t>- polttoaineiden päästökertoimet: Tilastokeskuksen Polttoaineluokitus ja Suomen ilmastopaneelin Autokalkulaattori</a:t>
          </a:r>
          <a:br>
            <a:rPr lang="fi-FI" sz="1200" b="0" i="0" u="none" strike="noStrike">
              <a:solidFill>
                <a:schemeClr val="dk1"/>
              </a:solidFill>
              <a:effectLst/>
              <a:latin typeface="+mn-lt"/>
              <a:ea typeface="+mn-ea"/>
              <a:cs typeface="+mn-cs"/>
            </a:rPr>
          </a:br>
          <a:r>
            <a:rPr lang="fi-FI" sz="1200" b="0" i="0" u="none" strike="noStrike">
              <a:solidFill>
                <a:schemeClr val="dk1"/>
              </a:solidFill>
              <a:effectLst/>
              <a:latin typeface="+mn-lt"/>
              <a:ea typeface="+mn-ea"/>
              <a:cs typeface="+mn-cs"/>
            </a:rPr>
            <a:t>- henkilö- ja pakettiautojen päästökertoimet: Autokalkulaattori</a:t>
          </a:r>
          <a:br>
            <a:rPr lang="fi-FI" sz="1200" b="0" i="0" u="none" strike="noStrike">
              <a:solidFill>
                <a:schemeClr val="dk1"/>
              </a:solidFill>
              <a:effectLst/>
              <a:latin typeface="+mn-lt"/>
              <a:ea typeface="+mn-ea"/>
              <a:cs typeface="+mn-cs"/>
            </a:rPr>
          </a:br>
          <a:r>
            <a:rPr lang="fi-FI" sz="1200" b="0" i="0" u="none" strike="noStrike">
              <a:solidFill>
                <a:schemeClr val="dk1"/>
              </a:solidFill>
              <a:effectLst/>
              <a:latin typeface="+mn-lt"/>
              <a:ea typeface="+mn-ea"/>
              <a:cs typeface="+mn-cs"/>
            </a:rPr>
            <a:t>- sähkön ominaispäästökertoimet: Fingrid, Energiateollisuus ry ja Energiavirasto</a:t>
          </a:r>
        </a:p>
        <a:p>
          <a:endParaRPr lang="fi-FI" sz="1200" b="0" i="0" u="none" strike="noStrike">
            <a:solidFill>
              <a:schemeClr val="dk1"/>
            </a:solidFill>
            <a:effectLst/>
            <a:latin typeface="+mn-lt"/>
            <a:ea typeface="+mn-ea"/>
            <a:cs typeface="+mn-cs"/>
          </a:endParaRPr>
        </a:p>
        <a:p>
          <a:endParaRPr lang="fi-FI" sz="1200"/>
        </a:p>
      </xdr:txBody>
    </xdr:sp>
    <xdr:clientData/>
  </xdr:twoCellAnchor>
</xdr:wsDr>
</file>

<file path=xl/theme/theme1.xml><?xml version="1.0" encoding="utf-8"?>
<a:theme xmlns:a="http://schemas.openxmlformats.org/drawingml/2006/main" name="TemaELY_2020">
  <a:themeElements>
    <a:clrScheme name="ELYn värit">
      <a:dk1>
        <a:sysClr val="windowText" lastClr="000000"/>
      </a:dk1>
      <a:lt1>
        <a:sysClr val="window" lastClr="FFFFFF"/>
      </a:lt1>
      <a:dk2>
        <a:srgbClr val="003883"/>
      </a:dk2>
      <a:lt2>
        <a:srgbClr val="5A8117"/>
      </a:lt2>
      <a:accent1>
        <a:srgbClr val="BE5A0F"/>
      </a:accent1>
      <a:accent2>
        <a:srgbClr val="4460A5"/>
      </a:accent2>
      <a:accent3>
        <a:srgbClr val="363534"/>
      </a:accent3>
      <a:accent4>
        <a:srgbClr val="D9640C"/>
      </a:accent4>
      <a:accent5>
        <a:srgbClr val="FFD100"/>
      </a:accent5>
      <a:accent6>
        <a:srgbClr val="B6BF00"/>
      </a:accent6>
      <a:hlink>
        <a:srgbClr val="0000FF"/>
      </a:hlink>
      <a:folHlink>
        <a:srgbClr val="800080"/>
      </a:folHlink>
    </a:clrScheme>
    <a:fontScheme name="Office, klassinen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https://www.sciencedirect.com/science/article/abs/pii/S0959652624014100" TargetMode="External"/><Relationship Id="rId18" Type="http://schemas.openxmlformats.org/officeDocument/2006/relationships/hyperlink" Target="https://acris.aalto.fi/ws/portalfiles/portal/89596815/1_s2.0_S0301479722019296_main.pdf" TargetMode="External"/><Relationship Id="rId26" Type="http://schemas.openxmlformats.org/officeDocument/2006/relationships/hyperlink" Target="https://co2data.fi/infra/reports/INFRA%20muovituotteet%20R01.04.pdf" TargetMode="External"/><Relationship Id="rId3" Type="http://schemas.openxmlformats.org/officeDocument/2006/relationships/hyperlink" Target="https://co2data.fi/infra/reports/INFRA%20muovituotteet%20R01.04.pdf" TargetMode="External"/><Relationship Id="rId21" Type="http://schemas.openxmlformats.org/officeDocument/2006/relationships/hyperlink" Target="https://acris.aalto.fi/ws/portalfiles/portal/89596815/1_s2.0_S0301479722019296_main.pdf" TargetMode="External"/><Relationship Id="rId34" Type="http://schemas.openxmlformats.org/officeDocument/2006/relationships/hyperlink" Target="https://www.itb.pl/wp-content/uploads/2024/03/ITB-EPD_611_ATUS-Group-Sp.-z-o.o.-Sp.-k.-Salamander-HDPE-Geomembranes-manufactured-by-Atus-Group.pdf" TargetMode="External"/><Relationship Id="rId7" Type="http://schemas.openxmlformats.org/officeDocument/2006/relationships/hyperlink" Target="https://co2data.fi/infra/reports/INFRA%20muovituotteet%20R01.04.pdf,%20muovikalvo,%20PE,%200,2%20mm" TargetMode="External"/><Relationship Id="rId12" Type="http://schemas.openxmlformats.org/officeDocument/2006/relationships/hyperlink" Target="https://legacy.winnipeg.ca/finance/findata/matmgt/documents/2012/682-2012/682-2012_appendix_h-wstp_south_end_plant_process_selection_report/appendix%207.pdf" TargetMode="External"/><Relationship Id="rId17" Type="http://schemas.openxmlformats.org/officeDocument/2006/relationships/hyperlink" Target="https://acris.aalto.fi/ws/portalfiles/portal/89596815/1_s2.0_S0301479722019296_main.pdf" TargetMode="External"/><Relationship Id="rId25" Type="http://schemas.openxmlformats.org/officeDocument/2006/relationships/hyperlink" Target="https://co2data.fi/infra/reports/INFRA%20muovituotteet%20R01.04.pdf" TargetMode="External"/><Relationship Id="rId33" Type="http://schemas.openxmlformats.org/officeDocument/2006/relationships/hyperlink" Target="https://www.itb.pl/wp-content/uploads/2024/03/ITB-EPD_611_ATUS-Group-Sp.-z-o.o.-Sp.-k.-Salamander-HDPE-Geomembranes-manufactured-by-Atus-Group.pdf" TargetMode="External"/><Relationship Id="rId2" Type="http://schemas.openxmlformats.org/officeDocument/2006/relationships/hyperlink" Target="https://co2data.fi/infra/reports/INFRA%20muovituotteet%20R01.04.pdf" TargetMode="External"/><Relationship Id="rId16" Type="http://schemas.openxmlformats.org/officeDocument/2006/relationships/hyperlink" Target="https://acris.aalto.fi/ws/portalfiles/portal/89596815/1_s2.0_S0301479722019296_main.pdf" TargetMode="External"/><Relationship Id="rId20" Type="http://schemas.openxmlformats.org/officeDocument/2006/relationships/hyperlink" Target="https://acris.aalto.fi/ws/portalfiles/portal/89596815/1_s2.0_S0301479722019296_main.pdf" TargetMode="External"/><Relationship Id="rId29" Type="http://schemas.openxmlformats.org/officeDocument/2006/relationships/hyperlink" Target="https://co2data.fi/infra/reports/INFRA%20muovituotteet%20R01.04.pdf" TargetMode="External"/><Relationship Id="rId1" Type="http://schemas.openxmlformats.org/officeDocument/2006/relationships/hyperlink" Target="https://co2data.fi/infra/reports/INFRA%20kuivatuotteet%20R01.03.pdf" TargetMode="External"/><Relationship Id="rId6" Type="http://schemas.openxmlformats.org/officeDocument/2006/relationships/hyperlink" Target="https://co2data.fi/infra/reports/INFRA%20muovituotteet%20R01.04.pdf,%20muovikalvo,%20PE,%200,2%20mm" TargetMode="External"/><Relationship Id="rId11" Type="http://schemas.openxmlformats.org/officeDocument/2006/relationships/hyperlink" Target="https://api.environdec.com/api/v1/EPDLibrary/Files/3b2ea76b-ecd7-44ef-88a1-08dbc3e797a5/Data" TargetMode="External"/><Relationship Id="rId24" Type="http://schemas.openxmlformats.org/officeDocument/2006/relationships/hyperlink" Target="https://www.oekobaudat.de/OEKOBAU.DAT/datasetdetail/process.xhtml?uuid=e5dbd47f-b181-4d85-bafe-2efc555f6afe&amp;version=20.19.120" TargetMode="External"/><Relationship Id="rId32" Type="http://schemas.openxmlformats.org/officeDocument/2006/relationships/hyperlink" Target="https://www.itb.pl/wp-content/uploads/2024/03/ITB-EPD_611_ATUS-Group-Sp.-z-o.o.-Sp.-k.-Salamander-HDPE-Geomembranes-manufactured-by-Atus-Group.pdf" TargetMode="External"/><Relationship Id="rId5" Type="http://schemas.openxmlformats.org/officeDocument/2006/relationships/hyperlink" Target="https://co2data.fi/infra/reports/INFRA%20muovituotteet%20R01.04.pdf" TargetMode="External"/><Relationship Id="rId15" Type="http://schemas.openxmlformats.org/officeDocument/2006/relationships/hyperlink" Target="https://acris.aalto.fi/ws/portalfiles/portal/89596815/1_s2.0_S0301479722019296_main.pdf" TargetMode="External"/><Relationship Id="rId23" Type="http://schemas.openxmlformats.org/officeDocument/2006/relationships/hyperlink" Target="https://legacy.winnipeg.ca/finance/findata/matmgt/documents/2012/682-2012/682-2012_appendix_h-wstp_south_end_plant_process_selection_report/appendix%207.pdf" TargetMode="External"/><Relationship Id="rId28" Type="http://schemas.openxmlformats.org/officeDocument/2006/relationships/hyperlink" Target="https://co2data.fi/infra/reports/INFRA%20muovituotteet%20R01.04.pdf" TargetMode="External"/><Relationship Id="rId36" Type="http://schemas.openxmlformats.org/officeDocument/2006/relationships/vmlDrawing" Target="../drawings/vmlDrawing16.vml"/><Relationship Id="rId10" Type="http://schemas.openxmlformats.org/officeDocument/2006/relationships/hyperlink" Target="https://api.environdec.com/api/v1/EPDLibrary/Files/26839c37-c145-4dd3-d17f-08dccdbb790c/Data" TargetMode="External"/><Relationship Id="rId19" Type="http://schemas.openxmlformats.org/officeDocument/2006/relationships/hyperlink" Target="https://acris.aalto.fi/ws/portalfiles/portal/89596815/1_s2.0_S0301479722019296_main.pdf" TargetMode="External"/><Relationship Id="rId31" Type="http://schemas.openxmlformats.org/officeDocument/2006/relationships/hyperlink" Target="https://www.itb.pl/wp-content/uploads/2024/03/ITB-EPD_611_ATUS-Group-Sp.-z-o.o.-Sp.-k.-Salamander-HDPE-Geomembranes-manufactured-by-Atus-Group.pdf" TargetMode="External"/><Relationship Id="rId4" Type="http://schemas.openxmlformats.org/officeDocument/2006/relationships/hyperlink" Target="https://co2data.fi/infra/reports/INFRA%20muovituotteet%20R01.04.pdf" TargetMode="External"/><Relationship Id="rId9" Type="http://schemas.openxmlformats.org/officeDocument/2006/relationships/hyperlink" Target="https://www.itb.pl/wp-content/uploads/2024/03/ITB-EPD_611_ATUS-Group-Sp.-z-o.o.-Sp.-k.-Salamander-HDPE-Geomembranes-manufactured-by-Atus-Group.pdf" TargetMode="External"/><Relationship Id="rId14" Type="http://schemas.openxmlformats.org/officeDocument/2006/relationships/hyperlink" Target="https://acris.aalto.fi/ws/portalfiles/portal/89596815/1_s2.0_S0301479722019296_main.pdf" TargetMode="External"/><Relationship Id="rId22" Type="http://schemas.openxmlformats.org/officeDocument/2006/relationships/hyperlink" Target="https://www.sciencedirect.com/science/article/abs/pii/S0959652624014100" TargetMode="External"/><Relationship Id="rId27" Type="http://schemas.openxmlformats.org/officeDocument/2006/relationships/hyperlink" Target="https://co2data.fi/infra/reports/INFRA%20muovituotteet%20R01.04.pdf" TargetMode="External"/><Relationship Id="rId30" Type="http://schemas.openxmlformats.org/officeDocument/2006/relationships/hyperlink" Target="https://www.itb.pl/wp-content/uploads/2024/03/ITB-EPD_611_ATUS-Group-Sp.-z-o.o.-Sp.-k.-Salamander-HDPE-Geomembranes-manufactured-by-Atus-Group.pdf" TargetMode="External"/><Relationship Id="rId35" Type="http://schemas.openxmlformats.org/officeDocument/2006/relationships/printerSettings" Target="../printerSettings/printerSettings10.bin"/><Relationship Id="rId8" Type="http://schemas.openxmlformats.org/officeDocument/2006/relationships/hyperlink" Target="https://co2data.fi/infra/reports/INFRA%20muovituotteet%20R01.04.pdf"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printerSettings" Target="../printerSettings/printerSettings11.bin"/><Relationship Id="rId1" Type="http://schemas.openxmlformats.org/officeDocument/2006/relationships/hyperlink" Target="https://autokalkulaattori.fi/"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grundfos.com/fi/learn/ecademy/all-courses/basic-hydraulics-and-pump-performance/calculating-pump-efficiency" TargetMode="External"/><Relationship Id="rId3" Type="http://schemas.openxmlformats.org/officeDocument/2006/relationships/hyperlink" Target="https://www.fingrid.fi/sahkomarkkinainformaatio/co2/" TargetMode="External"/><Relationship Id="rId7" Type="http://schemas.openxmlformats.org/officeDocument/2006/relationships/hyperlink" Target="https://www.grundfos.com/fi/learn/ecademy/all-courses/basic-hydraulics-and-pump-performance/calculating-pump-efficiency" TargetMode="External"/><Relationship Id="rId2" Type="http://schemas.openxmlformats.org/officeDocument/2006/relationships/hyperlink" Target="https://statdb.luke.fi/PxWeb/pxweb/fi/LUKE/LUKE__04%20Metsa__06%20Metsavarat/1.22_Puuston_keskitilavuus_metsamaalla.px/" TargetMode="External"/><Relationship Id="rId1" Type="http://schemas.openxmlformats.org/officeDocument/2006/relationships/hyperlink" Target="https://aaltodoc.aalto.fi/server/api/core/bitstreams/12d1684b-c5ff-4c52-b68d-ada7dcc48bdd/content" TargetMode="External"/><Relationship Id="rId6" Type="http://schemas.openxmlformats.org/officeDocument/2006/relationships/hyperlink" Target="https://autokalkulaattori.fi/" TargetMode="External"/><Relationship Id="rId5" Type="http://schemas.openxmlformats.org/officeDocument/2006/relationships/hyperlink" Target="https://energiavirasto.fi/energian-alkupera" TargetMode="External"/><Relationship Id="rId10" Type="http://schemas.openxmlformats.org/officeDocument/2006/relationships/vmlDrawing" Target="../drawings/vmlDrawing18.vml"/><Relationship Id="rId4" Type="http://schemas.openxmlformats.org/officeDocument/2006/relationships/hyperlink" Target="https://www.fingrid.fi/sahkomarkkinainformaatio/co2/" TargetMode="External"/><Relationship Id="rId9"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48A3F-D6AC-418E-BE7D-3E5FDC346D3C}">
  <sheetPr codeName="Sheet1">
    <tabColor theme="4" tint="0.79998168889431442"/>
  </sheetPr>
  <dimension ref="B1:BG58"/>
  <sheetViews>
    <sheetView tabSelected="1" zoomScale="115" zoomScaleNormal="115" workbookViewId="0">
      <selection activeCell="B1" sqref="B1"/>
    </sheetView>
  </sheetViews>
  <sheetFormatPr defaultRowHeight="14.25" x14ac:dyDescent="0.2"/>
  <cols>
    <col min="1" max="1" width="10.5" customWidth="1"/>
    <col min="2" max="2" width="9" style="15" customWidth="1"/>
    <col min="3" max="3" width="128.875" customWidth="1"/>
  </cols>
  <sheetData>
    <row r="1" spans="2:59" s="372" customFormat="1" x14ac:dyDescent="0.2">
      <c r="B1" s="15" t="s">
        <v>810</v>
      </c>
    </row>
    <row r="2" spans="2:59" s="372" customFormat="1" ht="30" x14ac:dyDescent="0.2">
      <c r="B2" s="415" t="s">
        <v>647</v>
      </c>
    </row>
    <row r="3" spans="2:59" s="366" customFormat="1" ht="30.75" x14ac:dyDescent="0.2">
      <c r="B3" s="415" t="s">
        <v>644</v>
      </c>
      <c r="C3" s="364"/>
      <c r="D3" s="365"/>
      <c r="G3" s="364"/>
      <c r="H3" s="365"/>
      <c r="J3" s="373"/>
      <c r="O3" s="374"/>
      <c r="R3" s="364"/>
      <c r="T3" s="375"/>
      <c r="U3" s="376"/>
      <c r="V3" s="376"/>
      <c r="W3" s="376"/>
      <c r="X3" s="376"/>
      <c r="Y3" s="376"/>
      <c r="Z3" s="376"/>
      <c r="AA3" s="376"/>
      <c r="AB3" s="376"/>
      <c r="AC3" s="376"/>
      <c r="AD3" s="376"/>
      <c r="AE3" s="376"/>
      <c r="AF3" s="376"/>
      <c r="AG3" s="376"/>
      <c r="AH3" s="376"/>
      <c r="AI3" s="376"/>
      <c r="AJ3" s="376"/>
      <c r="AK3" s="376"/>
      <c r="AL3" s="376"/>
      <c r="AM3" s="376"/>
      <c r="AN3" s="376"/>
      <c r="AO3" s="376"/>
      <c r="AP3" s="375"/>
      <c r="AQ3" s="375"/>
      <c r="AR3" s="375"/>
      <c r="AS3" s="375"/>
      <c r="AT3" s="375"/>
      <c r="AU3" s="375"/>
      <c r="AV3" s="375"/>
      <c r="AW3" s="375"/>
      <c r="AX3" s="375"/>
      <c r="AY3" s="375"/>
      <c r="AZ3" s="375"/>
      <c r="BA3" s="375"/>
      <c r="BB3" s="375"/>
      <c r="BC3" s="375"/>
      <c r="BD3" s="375"/>
      <c r="BE3" s="375"/>
      <c r="BF3" s="375"/>
      <c r="BG3" s="375"/>
    </row>
    <row r="4" spans="2:59" s="372" customFormat="1" x14ac:dyDescent="0.2">
      <c r="B4" s="416"/>
    </row>
    <row r="5" spans="2:59" s="372" customFormat="1" ht="72" customHeight="1" x14ac:dyDescent="0.2">
      <c r="B5" s="460" t="s">
        <v>805</v>
      </c>
      <c r="C5" s="460"/>
    </row>
    <row r="6" spans="2:59" s="372" customFormat="1" x14ac:dyDescent="0.2">
      <c r="B6" s="416"/>
      <c r="C6" s="416"/>
    </row>
    <row r="7" spans="2:59" s="289" customFormat="1" ht="23.25" x14ac:dyDescent="0.2">
      <c r="B7" s="425" t="s">
        <v>714</v>
      </c>
      <c r="C7" s="422"/>
      <c r="D7" s="288"/>
      <c r="G7" s="287"/>
      <c r="H7" s="288"/>
      <c r="K7" s="287"/>
      <c r="L7" s="287"/>
      <c r="M7" s="288"/>
      <c r="N7" s="288"/>
      <c r="O7" s="291"/>
      <c r="Q7" s="295"/>
      <c r="S7" s="294"/>
      <c r="T7" s="294"/>
      <c r="U7" s="294"/>
      <c r="V7" s="294"/>
      <c r="W7" s="294"/>
      <c r="X7" s="294"/>
      <c r="Y7" s="294"/>
      <c r="Z7" s="294"/>
      <c r="AA7" s="294"/>
      <c r="AB7" s="294"/>
      <c r="AC7" s="294"/>
      <c r="AD7" s="294"/>
      <c r="AE7" s="294"/>
      <c r="AF7" s="294"/>
      <c r="AG7" s="294"/>
      <c r="AH7" s="294"/>
      <c r="AI7" s="294"/>
      <c r="AJ7" s="294"/>
      <c r="AK7" s="294"/>
      <c r="AL7" s="294"/>
      <c r="AM7" s="294"/>
      <c r="AN7" s="295"/>
      <c r="AO7" s="295"/>
      <c r="AP7" s="295"/>
      <c r="AQ7" s="295"/>
      <c r="AR7" s="295"/>
      <c r="AS7" s="295"/>
      <c r="AT7" s="295"/>
      <c r="AU7" s="295"/>
      <c r="AV7" s="295"/>
      <c r="AW7" s="295"/>
      <c r="AX7" s="295"/>
      <c r="AY7" s="295"/>
      <c r="AZ7" s="295"/>
      <c r="BA7" s="295"/>
      <c r="BB7" s="295"/>
      <c r="BC7" s="295"/>
      <c r="BD7" s="295"/>
      <c r="BE7" s="295"/>
    </row>
    <row r="8" spans="2:59" s="372" customFormat="1" x14ac:dyDescent="0.2">
      <c r="B8" s="416"/>
      <c r="C8" s="416"/>
    </row>
    <row r="9" spans="2:59" s="416" customFormat="1" ht="90" customHeight="1" x14ac:dyDescent="0.2">
      <c r="B9" s="463" t="s">
        <v>806</v>
      </c>
      <c r="C9" s="463"/>
    </row>
    <row r="10" spans="2:59" s="416" customFormat="1" ht="21" customHeight="1" x14ac:dyDescent="0.2">
      <c r="B10" s="460" t="s">
        <v>729</v>
      </c>
      <c r="C10" s="460"/>
    </row>
    <row r="11" spans="2:59" s="372" customFormat="1" ht="21.75" customHeight="1" x14ac:dyDescent="0.2">
      <c r="B11" s="460" t="s">
        <v>730</v>
      </c>
      <c r="C11" s="460"/>
    </row>
    <row r="12" spans="2:59" s="372" customFormat="1" ht="95.25" customHeight="1" x14ac:dyDescent="0.2">
      <c r="B12" s="460" t="s">
        <v>799</v>
      </c>
      <c r="C12" s="460"/>
    </row>
    <row r="13" spans="2:59" s="372" customFormat="1" ht="66" customHeight="1" x14ac:dyDescent="0.2">
      <c r="B13" s="460" t="s">
        <v>800</v>
      </c>
      <c r="C13" s="460"/>
    </row>
    <row r="14" spans="2:59" s="372" customFormat="1" ht="48.75" customHeight="1" x14ac:dyDescent="0.2">
      <c r="B14" s="460" t="s">
        <v>807</v>
      </c>
      <c r="C14" s="460"/>
    </row>
    <row r="15" spans="2:59" s="372" customFormat="1" x14ac:dyDescent="0.2">
      <c r="B15" s="416"/>
      <c r="C15" s="416"/>
    </row>
    <row r="16" spans="2:59" s="429" customFormat="1" ht="27" customHeight="1" x14ac:dyDescent="0.2">
      <c r="B16" s="426" t="s">
        <v>715</v>
      </c>
      <c r="C16" s="427"/>
      <c r="D16" s="428"/>
      <c r="G16" s="430"/>
      <c r="H16" s="428"/>
      <c r="K16" s="430"/>
      <c r="L16" s="430"/>
      <c r="M16" s="428"/>
      <c r="N16" s="428"/>
      <c r="O16" s="431"/>
      <c r="Q16" s="432"/>
      <c r="S16" s="433"/>
      <c r="T16" s="433"/>
      <c r="U16" s="433"/>
      <c r="V16" s="433"/>
      <c r="W16" s="433"/>
      <c r="X16" s="433"/>
      <c r="Y16" s="433"/>
      <c r="Z16" s="433"/>
      <c r="AA16" s="433"/>
      <c r="AB16" s="433"/>
      <c r="AC16" s="433"/>
      <c r="AD16" s="433"/>
      <c r="AE16" s="433"/>
      <c r="AF16" s="433"/>
      <c r="AG16" s="433"/>
      <c r="AH16" s="433"/>
      <c r="AI16" s="433"/>
      <c r="AJ16" s="433"/>
      <c r="AK16" s="433"/>
      <c r="AL16" s="433"/>
      <c r="AM16" s="433"/>
      <c r="AN16" s="432"/>
      <c r="AO16" s="432"/>
      <c r="AP16" s="432"/>
      <c r="AQ16" s="432"/>
      <c r="AR16" s="432"/>
      <c r="AS16" s="432"/>
      <c r="AT16" s="432"/>
      <c r="AU16" s="432"/>
      <c r="AV16" s="432"/>
      <c r="AW16" s="432"/>
      <c r="AX16" s="432"/>
      <c r="AY16" s="432"/>
      <c r="AZ16" s="432"/>
      <c r="BA16" s="432"/>
      <c r="BB16" s="432"/>
      <c r="BC16" s="432"/>
      <c r="BD16" s="432"/>
      <c r="BE16" s="432"/>
    </row>
    <row r="17" spans="2:57" s="405" customFormat="1" ht="18.75" x14ac:dyDescent="0.2">
      <c r="B17" s="417" t="s">
        <v>28</v>
      </c>
      <c r="C17" s="423"/>
      <c r="D17" s="404"/>
      <c r="G17" s="403"/>
      <c r="H17" s="404"/>
      <c r="K17" s="403"/>
      <c r="L17" s="403"/>
      <c r="M17" s="404"/>
      <c r="N17" s="404"/>
      <c r="O17" s="406"/>
      <c r="Q17" s="407"/>
      <c r="S17" s="408"/>
      <c r="T17" s="408"/>
      <c r="U17" s="408"/>
      <c r="V17" s="408"/>
      <c r="W17" s="408"/>
      <c r="X17" s="408"/>
      <c r="Y17" s="408"/>
      <c r="Z17" s="408"/>
      <c r="AA17" s="408"/>
      <c r="AB17" s="408"/>
      <c r="AC17" s="408"/>
      <c r="AD17" s="408"/>
      <c r="AE17" s="408"/>
      <c r="AF17" s="408"/>
      <c r="AG17" s="408"/>
      <c r="AH17" s="408"/>
      <c r="AI17" s="408"/>
      <c r="AJ17" s="408"/>
      <c r="AK17" s="408"/>
      <c r="AL17" s="408"/>
      <c r="AM17" s="408"/>
      <c r="AN17" s="407"/>
      <c r="AO17" s="407"/>
      <c r="AP17" s="407"/>
      <c r="AQ17" s="407"/>
      <c r="AR17" s="407"/>
      <c r="AS17" s="407"/>
      <c r="AT17" s="407"/>
      <c r="AU17" s="407"/>
      <c r="AV17" s="407"/>
      <c r="AW17" s="407"/>
      <c r="AX17" s="407"/>
      <c r="AY17" s="407"/>
      <c r="AZ17" s="407"/>
      <c r="BA17" s="407"/>
      <c r="BB17" s="407"/>
      <c r="BC17" s="407"/>
      <c r="BD17" s="407"/>
      <c r="BE17" s="407"/>
    </row>
    <row r="18" spans="2:57" s="372" customFormat="1" x14ac:dyDescent="0.2">
      <c r="B18" s="416"/>
      <c r="C18" s="416"/>
    </row>
    <row r="19" spans="2:57" s="372" customFormat="1" ht="42.75" customHeight="1" x14ac:dyDescent="0.2">
      <c r="B19" s="460" t="s">
        <v>634</v>
      </c>
      <c r="C19" s="460"/>
    </row>
    <row r="20" spans="2:57" s="372" customFormat="1" x14ac:dyDescent="0.2">
      <c r="B20" s="462" t="s">
        <v>636</v>
      </c>
      <c r="C20" s="462"/>
    </row>
    <row r="21" spans="2:57" s="372" customFormat="1" x14ac:dyDescent="0.2">
      <c r="B21" s="462" t="s">
        <v>672</v>
      </c>
      <c r="C21" s="462"/>
    </row>
    <row r="22" spans="2:57" s="372" customFormat="1" x14ac:dyDescent="0.2">
      <c r="B22" s="416"/>
      <c r="C22" s="416"/>
    </row>
    <row r="23" spans="2:57" s="405" customFormat="1" ht="18.75" x14ac:dyDescent="0.2">
      <c r="B23" s="417" t="s">
        <v>27</v>
      </c>
      <c r="C23" s="423"/>
      <c r="D23" s="404"/>
      <c r="G23" s="403"/>
      <c r="H23" s="404"/>
      <c r="K23" s="403"/>
      <c r="L23" s="403"/>
      <c r="M23" s="404"/>
      <c r="N23" s="404"/>
      <c r="O23" s="406"/>
      <c r="Q23" s="407"/>
      <c r="S23" s="408"/>
      <c r="T23" s="408"/>
      <c r="U23" s="408"/>
      <c r="V23" s="408"/>
      <c r="W23" s="408"/>
      <c r="X23" s="408"/>
      <c r="Y23" s="408"/>
      <c r="Z23" s="408"/>
      <c r="AA23" s="408"/>
      <c r="AB23" s="408"/>
      <c r="AC23" s="408"/>
      <c r="AD23" s="408"/>
      <c r="AE23" s="408"/>
      <c r="AF23" s="408"/>
      <c r="AG23" s="408"/>
      <c r="AH23" s="408"/>
      <c r="AI23" s="408"/>
      <c r="AJ23" s="408"/>
      <c r="AK23" s="408"/>
      <c r="AL23" s="408"/>
      <c r="AM23" s="408"/>
      <c r="AN23" s="407"/>
      <c r="AO23" s="407"/>
      <c r="AP23" s="407"/>
      <c r="AQ23" s="407"/>
      <c r="AR23" s="407"/>
      <c r="AS23" s="407"/>
      <c r="AT23" s="407"/>
      <c r="AU23" s="407"/>
      <c r="AV23" s="407"/>
      <c r="AW23" s="407"/>
      <c r="AX23" s="407"/>
      <c r="AY23" s="407"/>
      <c r="AZ23" s="407"/>
      <c r="BA23" s="407"/>
      <c r="BB23" s="407"/>
      <c r="BC23" s="407"/>
      <c r="BD23" s="407"/>
      <c r="BE23" s="407"/>
    </row>
    <row r="24" spans="2:57" s="372" customFormat="1" x14ac:dyDescent="0.2">
      <c r="B24" s="416"/>
      <c r="C24" s="416"/>
    </row>
    <row r="25" spans="2:57" s="372" customFormat="1" ht="16.5" customHeight="1" x14ac:dyDescent="0.2">
      <c r="B25" s="460" t="s">
        <v>675</v>
      </c>
      <c r="C25" s="460"/>
    </row>
    <row r="26" spans="2:57" s="372" customFormat="1" ht="44.25" customHeight="1" x14ac:dyDescent="0.2">
      <c r="B26" s="460" t="s">
        <v>673</v>
      </c>
      <c r="C26" s="460"/>
    </row>
    <row r="27" spans="2:57" s="372" customFormat="1" ht="39.75" customHeight="1" x14ac:dyDescent="0.2">
      <c r="B27" s="460" t="s">
        <v>808</v>
      </c>
      <c r="C27" s="460"/>
    </row>
    <row r="28" spans="2:57" s="372" customFormat="1" ht="44.25" customHeight="1" x14ac:dyDescent="0.2">
      <c r="B28" s="460" t="s">
        <v>640</v>
      </c>
      <c r="C28" s="460"/>
    </row>
    <row r="29" spans="2:57" s="372" customFormat="1" x14ac:dyDescent="0.2">
      <c r="B29" s="416" t="s">
        <v>643</v>
      </c>
      <c r="C29" s="416"/>
    </row>
    <row r="30" spans="2:57" s="372" customFormat="1" x14ac:dyDescent="0.2">
      <c r="B30" s="416"/>
      <c r="C30" s="416"/>
    </row>
    <row r="31" spans="2:57" s="372" customFormat="1" x14ac:dyDescent="0.2">
      <c r="B31" s="416" t="s">
        <v>637</v>
      </c>
      <c r="C31" s="416"/>
    </row>
    <row r="32" spans="2:57" s="372" customFormat="1" x14ac:dyDescent="0.2">
      <c r="B32" s="418"/>
      <c r="C32" s="416" t="s">
        <v>26</v>
      </c>
    </row>
    <row r="33" spans="2:57" s="372" customFormat="1" x14ac:dyDescent="0.2">
      <c r="B33" s="419"/>
      <c r="C33" s="416" t="s">
        <v>638</v>
      </c>
    </row>
    <row r="34" spans="2:57" s="372" customFormat="1" ht="15" x14ac:dyDescent="0.2">
      <c r="B34" s="420"/>
      <c r="C34" s="416" t="s">
        <v>639</v>
      </c>
    </row>
    <row r="35" spans="2:57" s="372" customFormat="1" x14ac:dyDescent="0.2">
      <c r="B35" s="416"/>
      <c r="C35" s="416"/>
    </row>
    <row r="36" spans="2:57" s="372" customFormat="1" x14ac:dyDescent="0.2">
      <c r="B36" s="416"/>
      <c r="C36" s="416"/>
    </row>
    <row r="37" spans="2:57" s="405" customFormat="1" ht="18.75" x14ac:dyDescent="0.2">
      <c r="B37" s="417" t="s">
        <v>641</v>
      </c>
      <c r="C37" s="423"/>
      <c r="D37" s="404"/>
      <c r="G37" s="403"/>
      <c r="H37" s="404"/>
      <c r="K37" s="403"/>
      <c r="L37" s="403"/>
      <c r="M37" s="404"/>
      <c r="N37" s="404"/>
      <c r="O37" s="406"/>
      <c r="Q37" s="407"/>
      <c r="S37" s="408"/>
      <c r="T37" s="408"/>
      <c r="U37" s="408"/>
      <c r="V37" s="408"/>
      <c r="W37" s="408"/>
      <c r="X37" s="408"/>
      <c r="Y37" s="408"/>
      <c r="Z37" s="408"/>
      <c r="AA37" s="408"/>
      <c r="AB37" s="408"/>
      <c r="AC37" s="408"/>
      <c r="AD37" s="408"/>
      <c r="AE37" s="408"/>
      <c r="AF37" s="408"/>
      <c r="AG37" s="408"/>
      <c r="AH37" s="408"/>
      <c r="AI37" s="408"/>
      <c r="AJ37" s="408"/>
      <c r="AK37" s="408"/>
      <c r="AL37" s="408"/>
      <c r="AM37" s="408"/>
      <c r="AN37" s="407"/>
      <c r="AO37" s="407"/>
      <c r="AP37" s="407"/>
      <c r="AQ37" s="407"/>
      <c r="AR37" s="407"/>
      <c r="AS37" s="407"/>
      <c r="AT37" s="407"/>
      <c r="AU37" s="407"/>
      <c r="AV37" s="407"/>
      <c r="AW37" s="407"/>
      <c r="AX37" s="407"/>
      <c r="AY37" s="407"/>
      <c r="AZ37" s="407"/>
      <c r="BA37" s="407"/>
      <c r="BB37" s="407"/>
      <c r="BC37" s="407"/>
      <c r="BD37" s="407"/>
      <c r="BE37" s="407"/>
    </row>
    <row r="38" spans="2:57" s="370" customFormat="1" ht="18" x14ac:dyDescent="0.2">
      <c r="B38" s="421"/>
      <c r="C38" s="424"/>
      <c r="D38" s="378"/>
      <c r="G38" s="377"/>
      <c r="H38" s="378"/>
      <c r="K38" s="377"/>
      <c r="L38" s="377"/>
      <c r="M38" s="378"/>
      <c r="N38" s="378"/>
      <c r="O38" s="379"/>
      <c r="Q38" s="380"/>
      <c r="S38" s="381"/>
      <c r="T38" s="381"/>
      <c r="U38" s="381"/>
      <c r="V38" s="381"/>
      <c r="W38" s="381"/>
      <c r="X38" s="381"/>
      <c r="Y38" s="381"/>
      <c r="Z38" s="381"/>
      <c r="AA38" s="381"/>
      <c r="AB38" s="381"/>
      <c r="AC38" s="381"/>
      <c r="AD38" s="381"/>
      <c r="AE38" s="381"/>
      <c r="AF38" s="381"/>
      <c r="AG38" s="381"/>
      <c r="AH38" s="381"/>
      <c r="AI38" s="381"/>
      <c r="AJ38" s="381"/>
      <c r="AK38" s="381"/>
      <c r="AL38" s="381"/>
      <c r="AM38" s="381"/>
      <c r="AN38" s="380"/>
      <c r="AO38" s="380"/>
      <c r="AP38" s="380"/>
      <c r="AQ38" s="380"/>
      <c r="AR38" s="380"/>
      <c r="AS38" s="380"/>
      <c r="AT38" s="380"/>
      <c r="AU38" s="380"/>
      <c r="AV38" s="380"/>
      <c r="AW38" s="380"/>
      <c r="AX38" s="380"/>
      <c r="AY38" s="380"/>
      <c r="AZ38" s="380"/>
      <c r="BA38" s="380"/>
      <c r="BB38" s="380"/>
      <c r="BC38" s="380"/>
      <c r="BD38" s="380"/>
      <c r="BE38" s="380"/>
    </row>
    <row r="39" spans="2:57" s="372" customFormat="1" ht="36" customHeight="1" x14ac:dyDescent="0.2">
      <c r="B39" s="460" t="s">
        <v>728</v>
      </c>
      <c r="C39" s="460"/>
    </row>
    <row r="40" spans="2:57" s="372" customFormat="1" ht="18" customHeight="1" x14ac:dyDescent="0.2">
      <c r="B40" s="460" t="s">
        <v>727</v>
      </c>
      <c r="C40" s="460"/>
    </row>
    <row r="41" spans="2:57" s="372" customFormat="1" ht="125.25" customHeight="1" x14ac:dyDescent="0.2">
      <c r="B41" s="461" t="s">
        <v>798</v>
      </c>
      <c r="C41" s="460"/>
    </row>
    <row r="42" spans="2:57" s="372" customFormat="1" ht="29.25" customHeight="1" x14ac:dyDescent="0.2">
      <c r="B42" s="461" t="s">
        <v>750</v>
      </c>
      <c r="C42" s="461"/>
    </row>
    <row r="43" spans="2:57" s="372" customFormat="1" ht="16.5" customHeight="1" x14ac:dyDescent="0.2">
      <c r="B43" s="460"/>
      <c r="C43" s="460"/>
    </row>
    <row r="44" spans="2:57" s="405" customFormat="1" ht="18.75" x14ac:dyDescent="0.2">
      <c r="B44" s="417" t="s">
        <v>642</v>
      </c>
      <c r="C44" s="423"/>
      <c r="D44" s="404"/>
      <c r="G44" s="403"/>
      <c r="H44" s="404"/>
      <c r="K44" s="403"/>
      <c r="L44" s="403"/>
      <c r="M44" s="404"/>
      <c r="N44" s="404"/>
      <c r="O44" s="406"/>
      <c r="Q44" s="407"/>
      <c r="S44" s="408"/>
      <c r="T44" s="408"/>
      <c r="U44" s="408"/>
      <c r="V44" s="408"/>
      <c r="W44" s="408"/>
      <c r="X44" s="408"/>
      <c r="Y44" s="408"/>
      <c r="Z44" s="408"/>
      <c r="AA44" s="408"/>
      <c r="AB44" s="408"/>
      <c r="AC44" s="408"/>
      <c r="AD44" s="408"/>
      <c r="AE44" s="408"/>
      <c r="AF44" s="408"/>
      <c r="AG44" s="408"/>
      <c r="AH44" s="408"/>
      <c r="AI44" s="408"/>
      <c r="AJ44" s="408"/>
      <c r="AK44" s="408"/>
      <c r="AL44" s="408"/>
      <c r="AM44" s="408"/>
      <c r="AN44" s="407"/>
      <c r="AO44" s="407"/>
      <c r="AP44" s="407"/>
      <c r="AQ44" s="407"/>
      <c r="AR44" s="407"/>
      <c r="AS44" s="407"/>
      <c r="AT44" s="407"/>
      <c r="AU44" s="407"/>
      <c r="AV44" s="407"/>
      <c r="AW44" s="407"/>
      <c r="AX44" s="407"/>
      <c r="AY44" s="407"/>
      <c r="AZ44" s="407"/>
      <c r="BA44" s="407"/>
      <c r="BB44" s="407"/>
      <c r="BC44" s="407"/>
      <c r="BD44" s="407"/>
      <c r="BE44" s="407"/>
    </row>
    <row r="45" spans="2:57" s="372" customFormat="1" ht="16.5" customHeight="1" x14ac:dyDescent="0.2">
      <c r="B45" s="460"/>
      <c r="C45" s="460"/>
    </row>
    <row r="46" spans="2:57" s="372" customFormat="1" ht="30.75" customHeight="1" x14ac:dyDescent="0.2">
      <c r="B46" s="460" t="s">
        <v>803</v>
      </c>
      <c r="C46" s="460"/>
    </row>
    <row r="47" spans="2:57" s="372" customFormat="1" x14ac:dyDescent="0.2">
      <c r="B47" s="416"/>
      <c r="C47" s="416"/>
    </row>
    <row r="48" spans="2:57" s="429" customFormat="1" ht="20.25" x14ac:dyDescent="0.2">
      <c r="B48" s="426" t="s">
        <v>646</v>
      </c>
      <c r="C48" s="427"/>
      <c r="D48" s="428"/>
      <c r="G48" s="430"/>
      <c r="H48" s="428"/>
      <c r="K48" s="430"/>
      <c r="L48" s="430"/>
      <c r="M48" s="428"/>
      <c r="N48" s="428"/>
      <c r="O48" s="431"/>
      <c r="Q48" s="432"/>
      <c r="S48" s="433"/>
      <c r="T48" s="433"/>
      <c r="U48" s="433"/>
      <c r="V48" s="433"/>
      <c r="W48" s="433"/>
      <c r="X48" s="433"/>
      <c r="Y48" s="433"/>
      <c r="Z48" s="433"/>
      <c r="AA48" s="433"/>
      <c r="AB48" s="433"/>
      <c r="AC48" s="433"/>
      <c r="AD48" s="433"/>
      <c r="AE48" s="433"/>
      <c r="AF48" s="433"/>
      <c r="AG48" s="433"/>
      <c r="AH48" s="433"/>
      <c r="AI48" s="433"/>
      <c r="AJ48" s="433"/>
      <c r="AK48" s="433"/>
      <c r="AL48" s="433"/>
      <c r="AM48" s="433"/>
      <c r="AN48" s="432"/>
      <c r="AO48" s="432"/>
      <c r="AP48" s="432"/>
      <c r="AQ48" s="432"/>
      <c r="AR48" s="432"/>
      <c r="AS48" s="432"/>
      <c r="AT48" s="432"/>
      <c r="AU48" s="432"/>
      <c r="AV48" s="432"/>
      <c r="AW48" s="432"/>
      <c r="AX48" s="432"/>
      <c r="AY48" s="432"/>
      <c r="AZ48" s="432"/>
      <c r="BA48" s="432"/>
      <c r="BB48" s="432"/>
      <c r="BC48" s="432"/>
      <c r="BD48" s="432"/>
      <c r="BE48" s="432"/>
    </row>
    <row r="49" spans="2:57" s="372" customFormat="1" x14ac:dyDescent="0.2">
      <c r="B49" s="416"/>
      <c r="C49" s="416"/>
    </row>
    <row r="50" spans="2:57" s="372" customFormat="1" ht="39.75" customHeight="1" x14ac:dyDescent="0.2">
      <c r="B50" s="460" t="s">
        <v>674</v>
      </c>
      <c r="C50" s="460"/>
    </row>
    <row r="51" spans="2:57" s="429" customFormat="1" ht="20.25" x14ac:dyDescent="0.2">
      <c r="B51" s="426" t="s">
        <v>751</v>
      </c>
      <c r="C51" s="427"/>
      <c r="D51" s="428"/>
      <c r="G51" s="430"/>
      <c r="H51" s="428"/>
      <c r="K51" s="430"/>
      <c r="L51" s="430"/>
      <c r="M51" s="428"/>
      <c r="N51" s="428"/>
      <c r="O51" s="431"/>
      <c r="Q51" s="432"/>
      <c r="S51" s="433"/>
      <c r="T51" s="433"/>
      <c r="U51" s="433"/>
      <c r="V51" s="433"/>
      <c r="W51" s="433"/>
      <c r="X51" s="433"/>
      <c r="Y51" s="433"/>
      <c r="Z51" s="433"/>
      <c r="AA51" s="433"/>
      <c r="AB51" s="433"/>
      <c r="AC51" s="433"/>
      <c r="AD51" s="433"/>
      <c r="AE51" s="433"/>
      <c r="AF51" s="433"/>
      <c r="AG51" s="433"/>
      <c r="AH51" s="433"/>
      <c r="AI51" s="433"/>
      <c r="AJ51" s="433"/>
      <c r="AK51" s="433"/>
      <c r="AL51" s="433"/>
      <c r="AM51" s="433"/>
      <c r="AN51" s="432"/>
      <c r="AO51" s="432"/>
      <c r="AP51" s="432"/>
      <c r="AQ51" s="432"/>
      <c r="AR51" s="432"/>
      <c r="AS51" s="432"/>
      <c r="AT51" s="432"/>
      <c r="AU51" s="432"/>
      <c r="AV51" s="432"/>
      <c r="AW51" s="432"/>
      <c r="AX51" s="432"/>
      <c r="AY51" s="432"/>
      <c r="AZ51" s="432"/>
      <c r="BA51" s="432"/>
      <c r="BB51" s="432"/>
      <c r="BC51" s="432"/>
      <c r="BD51" s="432"/>
      <c r="BE51" s="432"/>
    </row>
    <row r="52" spans="2:57" s="372" customFormat="1" ht="13.5" customHeight="1" x14ac:dyDescent="0.2">
      <c r="C52" s="434"/>
    </row>
    <row r="53" spans="2:57" s="372" customFormat="1" ht="26.25" customHeight="1" x14ac:dyDescent="0.2">
      <c r="B53" s="460" t="s">
        <v>752</v>
      </c>
      <c r="C53" s="460"/>
    </row>
    <row r="54" spans="2:57" s="372" customFormat="1" x14ac:dyDescent="0.2">
      <c r="B54" s="416"/>
      <c r="C54" s="416"/>
    </row>
    <row r="55" spans="2:57" s="429" customFormat="1" ht="20.25" x14ac:dyDescent="0.2">
      <c r="B55" s="426" t="s">
        <v>648</v>
      </c>
      <c r="C55" s="427"/>
      <c r="D55" s="428"/>
      <c r="G55" s="430"/>
      <c r="H55" s="428"/>
      <c r="K55" s="430"/>
      <c r="L55" s="430"/>
      <c r="M55" s="428"/>
      <c r="N55" s="428"/>
      <c r="O55" s="431"/>
      <c r="Q55" s="432"/>
      <c r="S55" s="433"/>
      <c r="T55" s="433"/>
      <c r="U55" s="433"/>
      <c r="V55" s="433"/>
      <c r="W55" s="433"/>
      <c r="X55" s="433"/>
      <c r="Y55" s="433"/>
      <c r="Z55" s="433"/>
      <c r="AA55" s="433"/>
      <c r="AB55" s="433"/>
      <c r="AC55" s="433"/>
      <c r="AD55" s="433"/>
      <c r="AE55" s="433"/>
      <c r="AF55" s="433"/>
      <c r="AG55" s="433"/>
      <c r="AH55" s="433"/>
      <c r="AI55" s="433"/>
      <c r="AJ55" s="433"/>
      <c r="AK55" s="433"/>
      <c r="AL55" s="433"/>
      <c r="AM55" s="433"/>
      <c r="AN55" s="432"/>
      <c r="AO55" s="432"/>
      <c r="AP55" s="432"/>
      <c r="AQ55" s="432"/>
      <c r="AR55" s="432"/>
      <c r="AS55" s="432"/>
      <c r="AT55" s="432"/>
      <c r="AU55" s="432"/>
      <c r="AV55" s="432"/>
      <c r="AW55" s="432"/>
      <c r="AX55" s="432"/>
      <c r="AY55" s="432"/>
      <c r="AZ55" s="432"/>
      <c r="BA55" s="432"/>
      <c r="BB55" s="432"/>
      <c r="BC55" s="432"/>
      <c r="BD55" s="432"/>
      <c r="BE55" s="432"/>
    </row>
    <row r="56" spans="2:57" s="372" customFormat="1" x14ac:dyDescent="0.2">
      <c r="B56" s="416"/>
      <c r="C56" s="416"/>
    </row>
    <row r="57" spans="2:57" s="372" customFormat="1" x14ac:dyDescent="0.2">
      <c r="B57" s="416" t="s">
        <v>649</v>
      </c>
      <c r="C57" s="416"/>
    </row>
    <row r="58" spans="2:57" s="372" customFormat="1" x14ac:dyDescent="0.2">
      <c r="B58" s="416"/>
      <c r="C58" s="416"/>
    </row>
  </sheetData>
  <mergeCells count="23">
    <mergeCell ref="B5:C5"/>
    <mergeCell ref="B28:C28"/>
    <mergeCell ref="B39:C39"/>
    <mergeCell ref="B43:C43"/>
    <mergeCell ref="B45:C45"/>
    <mergeCell ref="B19:C19"/>
    <mergeCell ref="B25:C25"/>
    <mergeCell ref="B26:C26"/>
    <mergeCell ref="B20:C20"/>
    <mergeCell ref="B27:C27"/>
    <mergeCell ref="B21:C21"/>
    <mergeCell ref="B10:C10"/>
    <mergeCell ref="B9:C9"/>
    <mergeCell ref="B40:C40"/>
    <mergeCell ref="B41:C41"/>
    <mergeCell ref="B11:C11"/>
    <mergeCell ref="B53:C53"/>
    <mergeCell ref="B12:C12"/>
    <mergeCell ref="B14:C14"/>
    <mergeCell ref="B50:C50"/>
    <mergeCell ref="B46:C46"/>
    <mergeCell ref="B42:C42"/>
    <mergeCell ref="B13:C13"/>
  </mergeCells>
  <pageMargins left="0.70866141732283472" right="0.70866141732283472" top="0.74803149606299213" bottom="0.74803149606299213" header="0.31496062992125984" footer="0.31496062992125984"/>
  <pageSetup paperSize="9" scale="75" orientation="landscape" verticalDpi="0" r:id="rId1"/>
  <headerFooter>
    <oddHeader>&amp;L&amp;"-,Lihavoitu"&amp;12PIIP-laskentatyökalu&amp;ROhje ja esittely
Sivu &amp;P/&amp;N</oddHeader>
    <oddFooter>&amp;L&amp;G&amp;R&amp;G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D1083-60EA-4118-82DB-F645D1FFC606}">
  <sheetPr codeName="Sheet10">
    <tabColor theme="8" tint="0.79998168889431442"/>
  </sheetPr>
  <dimension ref="B1:BF125"/>
  <sheetViews>
    <sheetView workbookViewId="0">
      <pane xSplit="3" ySplit="4" topLeftCell="M5" activePane="bottomRight" state="frozen"/>
      <selection pane="topRight" activeCell="D1" sqref="D1"/>
      <selection pane="bottomLeft" activeCell="A5" sqref="A5"/>
      <selection pane="bottomRight" activeCell="N27" sqref="N27"/>
    </sheetView>
  </sheetViews>
  <sheetFormatPr defaultRowHeight="14.25" x14ac:dyDescent="0.2"/>
  <cols>
    <col min="1" max="1" width="2.75" customWidth="1"/>
    <col min="2" max="2" width="30.375" customWidth="1"/>
    <col min="3" max="3" width="35.25" bestFit="1" customWidth="1"/>
    <col min="4" max="4" width="8.875" customWidth="1"/>
    <col min="5" max="6" width="2.375" customWidth="1"/>
    <col min="7" max="7" width="15.375" customWidth="1"/>
    <col min="8" max="8" width="10.75" bestFit="1" customWidth="1"/>
    <col min="9" max="9" width="15.375" customWidth="1"/>
    <col min="10" max="10" width="10.375" bestFit="1" customWidth="1"/>
    <col min="11" max="11" width="17.625" customWidth="1"/>
    <col min="12" max="12" width="18.625" customWidth="1"/>
    <col min="13" max="13" width="16.375" customWidth="1"/>
    <col min="14" max="15" width="15.625" customWidth="1"/>
    <col min="16" max="16" width="79.75" customWidth="1"/>
  </cols>
  <sheetData>
    <row r="1" spans="2:58" s="30" customFormat="1" ht="15" x14ac:dyDescent="0.2">
      <c r="C1" s="33"/>
      <c r="D1" s="81"/>
      <c r="G1" s="33"/>
      <c r="H1" s="81"/>
      <c r="J1" s="32"/>
      <c r="K1" s="33"/>
      <c r="L1" s="33"/>
      <c r="M1" s="81"/>
      <c r="Q1" s="33"/>
      <c r="S1" s="54"/>
      <c r="T1" s="53"/>
      <c r="U1" s="53"/>
      <c r="V1" s="53"/>
      <c r="W1" s="53"/>
      <c r="X1" s="53"/>
      <c r="Y1" s="53"/>
      <c r="Z1" s="53"/>
      <c r="AA1" s="53"/>
      <c r="AB1" s="53"/>
      <c r="AC1" s="53"/>
      <c r="AD1" s="53"/>
      <c r="AE1" s="53"/>
      <c r="AF1" s="53"/>
      <c r="AG1" s="53"/>
      <c r="AH1" s="53"/>
      <c r="AI1" s="53"/>
      <c r="AJ1" s="53"/>
      <c r="AK1" s="53"/>
      <c r="AL1" s="53"/>
      <c r="AM1" s="53"/>
      <c r="AN1" s="53"/>
      <c r="AO1" s="54"/>
      <c r="AP1" s="54"/>
      <c r="AQ1" s="54"/>
      <c r="AR1" s="54"/>
      <c r="AS1" s="54"/>
      <c r="AT1" s="54"/>
      <c r="AU1" s="54"/>
      <c r="AV1" s="54"/>
      <c r="AW1" s="54"/>
      <c r="AX1" s="54"/>
      <c r="AY1" s="54"/>
      <c r="AZ1" s="54"/>
      <c r="BA1" s="54"/>
      <c r="BB1" s="54"/>
      <c r="BC1" s="54"/>
      <c r="BD1" s="54"/>
      <c r="BE1" s="54"/>
      <c r="BF1" s="54"/>
    </row>
    <row r="2" spans="2:58" s="24" customFormat="1" ht="30" x14ac:dyDescent="0.2">
      <c r="B2" s="7" t="s">
        <v>559</v>
      </c>
      <c r="C2" s="26"/>
      <c r="D2" s="82"/>
      <c r="G2" s="26"/>
      <c r="H2" s="82"/>
      <c r="J2" s="25"/>
      <c r="K2" s="26"/>
      <c r="L2" s="26"/>
      <c r="M2" s="82"/>
      <c r="Q2" s="26"/>
      <c r="S2" s="322"/>
      <c r="T2" s="323"/>
      <c r="U2" s="323"/>
      <c r="V2" s="323"/>
      <c r="W2" s="323"/>
      <c r="X2" s="323"/>
      <c r="Y2" s="323"/>
      <c r="Z2" s="323"/>
      <c r="AA2" s="323"/>
      <c r="AB2" s="323"/>
      <c r="AC2" s="323"/>
      <c r="AD2" s="323"/>
      <c r="AE2" s="323"/>
      <c r="AF2" s="323"/>
      <c r="AG2" s="323"/>
      <c r="AH2" s="323"/>
      <c r="AI2" s="323"/>
      <c r="AJ2" s="323"/>
      <c r="AK2" s="323"/>
      <c r="AL2" s="323"/>
      <c r="AM2" s="323"/>
      <c r="AN2" s="323"/>
      <c r="AO2" s="322"/>
      <c r="AP2" s="322"/>
      <c r="AQ2" s="322"/>
      <c r="AR2" s="322"/>
      <c r="AS2" s="322"/>
      <c r="AT2" s="322"/>
      <c r="AU2" s="322"/>
      <c r="AV2" s="322"/>
      <c r="AW2" s="322"/>
      <c r="AX2" s="322"/>
      <c r="AY2" s="322"/>
      <c r="AZ2" s="322"/>
      <c r="BA2" s="322"/>
      <c r="BB2" s="322"/>
      <c r="BC2" s="322"/>
      <c r="BD2" s="322"/>
      <c r="BE2" s="322"/>
      <c r="BF2" s="322"/>
    </row>
    <row r="3" spans="2:58" s="24" customFormat="1" ht="15" customHeight="1" x14ac:dyDescent="0.2">
      <c r="B3" s="7"/>
      <c r="C3" s="26"/>
      <c r="D3" s="82"/>
      <c r="G3" s="26"/>
      <c r="H3" s="82"/>
      <c r="J3" s="25"/>
      <c r="K3" s="26"/>
      <c r="L3" s="26"/>
      <c r="M3" s="82"/>
      <c r="Q3" s="26"/>
      <c r="S3" s="322"/>
      <c r="T3" s="323"/>
      <c r="U3" s="323"/>
      <c r="V3" s="323"/>
      <c r="W3" s="323"/>
      <c r="X3" s="323"/>
      <c r="Y3" s="323"/>
      <c r="Z3" s="323"/>
      <c r="AA3" s="323"/>
      <c r="AB3" s="323"/>
      <c r="AC3" s="323"/>
      <c r="AD3" s="323"/>
      <c r="AE3" s="323"/>
      <c r="AF3" s="323"/>
      <c r="AG3" s="323"/>
      <c r="AH3" s="323"/>
      <c r="AI3" s="323"/>
      <c r="AJ3" s="323"/>
      <c r="AK3" s="323"/>
      <c r="AL3" s="323"/>
      <c r="AM3" s="323"/>
      <c r="AN3" s="323"/>
      <c r="AO3" s="322"/>
      <c r="AP3" s="322"/>
      <c r="AQ3" s="322"/>
      <c r="AR3" s="322"/>
      <c r="AS3" s="322"/>
      <c r="AT3" s="322"/>
      <c r="AU3" s="322"/>
      <c r="AV3" s="322"/>
      <c r="AW3" s="322"/>
      <c r="AX3" s="322"/>
      <c r="AY3" s="322"/>
      <c r="AZ3" s="322"/>
      <c r="BA3" s="322"/>
      <c r="BB3" s="322"/>
      <c r="BC3" s="322"/>
      <c r="BD3" s="322"/>
      <c r="BE3" s="322"/>
      <c r="BF3" s="322"/>
    </row>
    <row r="4" spans="2:58" s="409" customFormat="1" ht="60.75" customHeight="1" x14ac:dyDescent="0.25">
      <c r="B4" s="409" t="s">
        <v>709</v>
      </c>
      <c r="C4" s="410" t="s">
        <v>718</v>
      </c>
      <c r="D4" s="410" t="s">
        <v>287</v>
      </c>
      <c r="G4" s="411" t="s">
        <v>711</v>
      </c>
      <c r="H4" s="410" t="s">
        <v>287</v>
      </c>
      <c r="I4" s="409" t="s">
        <v>171</v>
      </c>
      <c r="J4" s="4" t="s">
        <v>287</v>
      </c>
      <c r="K4" s="412" t="s">
        <v>712</v>
      </c>
      <c r="L4" s="412" t="s">
        <v>287</v>
      </c>
      <c r="M4" s="410" t="s">
        <v>153</v>
      </c>
      <c r="N4" s="409" t="s">
        <v>713</v>
      </c>
      <c r="O4" s="456" t="s">
        <v>716</v>
      </c>
      <c r="P4" s="409" t="s">
        <v>710</v>
      </c>
      <c r="Q4" s="412"/>
      <c r="S4" s="413"/>
      <c r="T4" s="414"/>
      <c r="U4" s="414"/>
      <c r="V4" s="414"/>
      <c r="W4" s="414"/>
      <c r="X4" s="414"/>
      <c r="Y4" s="414"/>
      <c r="Z4" s="414"/>
      <c r="AA4" s="414"/>
      <c r="AB4" s="414"/>
      <c r="AC4" s="414"/>
      <c r="AD4" s="414"/>
      <c r="AE4" s="414"/>
      <c r="AF4" s="414"/>
      <c r="AG4" s="414"/>
      <c r="AH4" s="414"/>
      <c r="AI4" s="414"/>
      <c r="AJ4" s="414"/>
      <c r="AK4" s="414"/>
      <c r="AL4" s="414"/>
      <c r="AM4" s="414"/>
      <c r="AN4" s="414"/>
      <c r="AO4" s="413"/>
      <c r="AP4" s="413"/>
      <c r="AQ4" s="413"/>
      <c r="AR4" s="413"/>
      <c r="AS4" s="413"/>
      <c r="AT4" s="413"/>
      <c r="AU4" s="413"/>
      <c r="AV4" s="413"/>
      <c r="AW4" s="413"/>
      <c r="AX4" s="413"/>
      <c r="AY4" s="413"/>
      <c r="AZ4" s="413"/>
      <c r="BA4" s="413"/>
      <c r="BB4" s="413"/>
      <c r="BC4" s="413"/>
      <c r="BD4" s="413"/>
      <c r="BE4" s="413"/>
      <c r="BF4" s="413"/>
    </row>
    <row r="5" spans="2:58" ht="28.5" x14ac:dyDescent="0.2">
      <c r="B5" s="15" t="s">
        <v>149</v>
      </c>
      <c r="C5" s="399" t="s">
        <v>416</v>
      </c>
      <c r="D5" s="15" t="s">
        <v>252</v>
      </c>
      <c r="E5" s="15"/>
      <c r="F5" s="15"/>
      <c r="G5" s="15"/>
      <c r="H5" s="15"/>
      <c r="I5" s="400">
        <v>6.0000000000000001E-3</v>
      </c>
      <c r="J5" s="15" t="s">
        <v>150</v>
      </c>
      <c r="K5" s="15"/>
      <c r="L5" s="15"/>
      <c r="M5" s="400">
        <v>1.05</v>
      </c>
      <c r="N5" s="15" t="s">
        <v>105</v>
      </c>
      <c r="O5" s="459">
        <v>45383</v>
      </c>
      <c r="P5" s="443" t="s">
        <v>152</v>
      </c>
      <c r="T5" t="s">
        <v>151</v>
      </c>
    </row>
    <row r="6" spans="2:58" ht="28.5" x14ac:dyDescent="0.2">
      <c r="B6" s="15" t="s">
        <v>149</v>
      </c>
      <c r="C6" s="399" t="s">
        <v>415</v>
      </c>
      <c r="D6" s="15" t="s">
        <v>252</v>
      </c>
      <c r="E6" s="15"/>
      <c r="F6" s="15"/>
      <c r="G6" s="15"/>
      <c r="H6" s="15"/>
      <c r="I6" s="400">
        <v>6.0000000000000001E-3</v>
      </c>
      <c r="J6" s="15" t="s">
        <v>150</v>
      </c>
      <c r="K6" s="15"/>
      <c r="L6" s="15"/>
      <c r="M6" s="400">
        <v>1.05</v>
      </c>
      <c r="N6" s="15" t="s">
        <v>105</v>
      </c>
      <c r="O6" s="459">
        <v>45383</v>
      </c>
      <c r="P6" s="443" t="s">
        <v>152</v>
      </c>
    </row>
    <row r="7" spans="2:58" ht="28.5" x14ac:dyDescent="0.2">
      <c r="B7" s="15" t="s">
        <v>149</v>
      </c>
      <c r="C7" s="399" t="s">
        <v>732</v>
      </c>
      <c r="D7" s="15" t="s">
        <v>252</v>
      </c>
      <c r="E7" s="15"/>
      <c r="F7" s="15"/>
      <c r="G7" s="15"/>
      <c r="H7" s="15"/>
      <c r="I7" s="400">
        <v>6.0000000000000001E-3</v>
      </c>
      <c r="J7" s="15" t="s">
        <v>150</v>
      </c>
      <c r="K7" s="15"/>
      <c r="L7" s="15"/>
      <c r="M7" s="400">
        <v>1.05</v>
      </c>
      <c r="N7" s="15" t="s">
        <v>105</v>
      </c>
      <c r="O7" s="459">
        <v>45383</v>
      </c>
      <c r="P7" s="443" t="s">
        <v>152</v>
      </c>
    </row>
    <row r="8" spans="2:58" ht="28.5" x14ac:dyDescent="0.2">
      <c r="B8" s="15" t="s">
        <v>149</v>
      </c>
      <c r="C8" s="399" t="s">
        <v>417</v>
      </c>
      <c r="D8" s="15" t="s">
        <v>252</v>
      </c>
      <c r="E8" s="15"/>
      <c r="F8" s="15"/>
      <c r="G8" s="15"/>
      <c r="H8" s="15"/>
      <c r="I8" s="400">
        <v>4.0000000000000001E-3</v>
      </c>
      <c r="J8" s="15" t="s">
        <v>150</v>
      </c>
      <c r="K8" s="15"/>
      <c r="L8" s="15"/>
      <c r="M8" s="400">
        <v>1.05</v>
      </c>
      <c r="N8" s="15" t="s">
        <v>105</v>
      </c>
      <c r="O8" s="459">
        <v>45383</v>
      </c>
      <c r="P8" s="443" t="s">
        <v>152</v>
      </c>
    </row>
    <row r="9" spans="2:58" ht="28.5" x14ac:dyDescent="0.2">
      <c r="B9" s="15" t="s">
        <v>149</v>
      </c>
      <c r="C9" s="399" t="s">
        <v>418</v>
      </c>
      <c r="D9" s="15" t="s">
        <v>252</v>
      </c>
      <c r="E9" s="15"/>
      <c r="F9" s="15"/>
      <c r="G9" s="15"/>
      <c r="H9" s="15"/>
      <c r="I9" s="400">
        <v>4.0000000000000001E-3</v>
      </c>
      <c r="J9" s="15" t="s">
        <v>150</v>
      </c>
      <c r="K9" s="15"/>
      <c r="L9" s="15"/>
      <c r="M9" s="400">
        <v>1.05</v>
      </c>
      <c r="N9" s="15" t="s">
        <v>105</v>
      </c>
      <c r="O9" s="459">
        <v>45383</v>
      </c>
      <c r="P9" s="443" t="s">
        <v>152</v>
      </c>
    </row>
    <row r="10" spans="2:58" x14ac:dyDescent="0.2">
      <c r="D10" s="15"/>
      <c r="E10" s="15"/>
      <c r="F10" s="15"/>
      <c r="G10" s="15"/>
      <c r="H10" s="15"/>
      <c r="I10" s="15"/>
      <c r="J10" s="15"/>
      <c r="K10" s="15"/>
      <c r="L10" s="15"/>
      <c r="M10" s="15"/>
      <c r="N10" s="15"/>
      <c r="O10" s="457"/>
      <c r="P10" s="15"/>
    </row>
    <row r="11" spans="2:58" x14ac:dyDescent="0.2">
      <c r="B11" t="s">
        <v>717</v>
      </c>
      <c r="C11" s="266" t="s">
        <v>155</v>
      </c>
      <c r="D11" s="15" t="s">
        <v>252</v>
      </c>
      <c r="E11" s="15"/>
      <c r="F11" s="15"/>
      <c r="G11" s="15"/>
      <c r="H11" s="15"/>
      <c r="I11" s="400">
        <v>0</v>
      </c>
      <c r="J11" s="15" t="s">
        <v>150</v>
      </c>
      <c r="K11" s="15"/>
      <c r="L11" s="15"/>
      <c r="M11" s="444">
        <v>1</v>
      </c>
      <c r="N11" s="15"/>
      <c r="O11" s="459">
        <v>45383</v>
      </c>
      <c r="P11" s="15" t="s">
        <v>385</v>
      </c>
    </row>
    <row r="12" spans="2:58" x14ac:dyDescent="0.2">
      <c r="B12" t="s">
        <v>717</v>
      </c>
      <c r="C12" s="266" t="s">
        <v>154</v>
      </c>
      <c r="D12" s="15" t="s">
        <v>252</v>
      </c>
      <c r="E12" s="15"/>
      <c r="F12" s="15"/>
      <c r="G12" s="15"/>
      <c r="H12" s="15"/>
      <c r="I12" s="400">
        <v>9.0999999999999998E-2</v>
      </c>
      <c r="J12" s="15" t="s">
        <v>150</v>
      </c>
      <c r="K12" s="15"/>
      <c r="L12" s="15"/>
      <c r="M12" s="444">
        <v>1</v>
      </c>
      <c r="N12" s="15" t="s">
        <v>105</v>
      </c>
      <c r="O12" s="459">
        <v>45383</v>
      </c>
      <c r="P12" s="443" t="s">
        <v>157</v>
      </c>
    </row>
    <row r="13" spans="2:58" x14ac:dyDescent="0.2">
      <c r="B13" t="s">
        <v>717</v>
      </c>
      <c r="C13" s="266" t="s">
        <v>156</v>
      </c>
      <c r="D13" s="15" t="s">
        <v>252</v>
      </c>
      <c r="E13" s="15"/>
      <c r="F13" s="15"/>
      <c r="G13" s="15"/>
      <c r="H13" s="15"/>
      <c r="I13" s="400">
        <v>0.312</v>
      </c>
      <c r="J13" s="15" t="s">
        <v>150</v>
      </c>
      <c r="K13" s="15"/>
      <c r="L13" s="15"/>
      <c r="M13" s="444">
        <v>1</v>
      </c>
      <c r="N13" s="15" t="s">
        <v>105</v>
      </c>
      <c r="O13" s="459">
        <v>45383</v>
      </c>
      <c r="P13" s="443" t="s">
        <v>157</v>
      </c>
      <c r="T13" t="s">
        <v>158</v>
      </c>
    </row>
    <row r="14" spans="2:58" x14ac:dyDescent="0.2">
      <c r="B14" t="s">
        <v>717</v>
      </c>
      <c r="C14" s="266" t="s">
        <v>386</v>
      </c>
      <c r="D14" s="15" t="s">
        <v>252</v>
      </c>
      <c r="E14" s="15"/>
      <c r="F14" s="15"/>
      <c r="G14" s="15"/>
      <c r="H14" s="15"/>
      <c r="I14" s="445">
        <f>AVERAGE(0.114,0.072,0.106,0.095,0.047)</f>
        <v>8.6800000000000002E-2</v>
      </c>
      <c r="J14" s="15" t="s">
        <v>150</v>
      </c>
      <c r="K14" s="15"/>
      <c r="L14" s="15"/>
      <c r="M14" s="444">
        <v>1</v>
      </c>
      <c r="N14" s="15" t="s">
        <v>105</v>
      </c>
      <c r="O14" s="459">
        <v>45383</v>
      </c>
      <c r="P14" s="443" t="s">
        <v>157</v>
      </c>
      <c r="T14" t="s">
        <v>159</v>
      </c>
    </row>
    <row r="15" spans="2:58" x14ac:dyDescent="0.2">
      <c r="B15" t="s">
        <v>717</v>
      </c>
      <c r="C15" s="266"/>
      <c r="I15" s="206"/>
      <c r="M15" s="206"/>
      <c r="O15" s="458"/>
    </row>
    <row r="16" spans="2:58" x14ac:dyDescent="0.2">
      <c r="B16" t="s">
        <v>717</v>
      </c>
      <c r="C16" s="266"/>
      <c r="I16" s="206"/>
      <c r="M16" s="206"/>
      <c r="O16" s="458"/>
    </row>
    <row r="17" spans="2:20" x14ac:dyDescent="0.2">
      <c r="O17" s="458"/>
    </row>
    <row r="18" spans="2:20" x14ac:dyDescent="0.2">
      <c r="B18" t="s">
        <v>161</v>
      </c>
      <c r="C18" s="206" t="s">
        <v>168</v>
      </c>
      <c r="D18" t="s">
        <v>252</v>
      </c>
      <c r="I18" s="206">
        <v>5.0000000000000001E-3</v>
      </c>
      <c r="J18" t="s">
        <v>150</v>
      </c>
      <c r="M18" s="206">
        <f>AVERAGE(M5:M9)</f>
        <v>1.05</v>
      </c>
      <c r="O18" s="459">
        <v>45383</v>
      </c>
      <c r="T18" t="s">
        <v>169</v>
      </c>
    </row>
    <row r="19" spans="2:20" x14ac:dyDescent="0.2">
      <c r="G19" s="398" t="s">
        <v>695</v>
      </c>
      <c r="I19" t="s">
        <v>171</v>
      </c>
      <c r="O19" s="458"/>
    </row>
    <row r="20" spans="2:20" x14ac:dyDescent="0.2">
      <c r="B20" t="s">
        <v>608</v>
      </c>
      <c r="C20" s="111" t="s">
        <v>21</v>
      </c>
      <c r="D20" t="s">
        <v>162</v>
      </c>
      <c r="G20" s="397">
        <f t="shared" ref="G20:G24" si="0">I20*M20</f>
        <v>0.74139999999999995</v>
      </c>
      <c r="H20" t="str">
        <f t="shared" ref="H20:H24" si="1">J20</f>
        <v>kgCO2e/m2</v>
      </c>
      <c r="I20" s="267">
        <f>AVERAGE(0.27,0.44,0.65,0.86,1.15)</f>
        <v>0.67399999999999993</v>
      </c>
      <c r="J20" t="s">
        <v>179</v>
      </c>
      <c r="K20" s="267">
        <f>3.23</f>
        <v>3.23</v>
      </c>
      <c r="L20" t="s">
        <v>150</v>
      </c>
      <c r="M20" s="274">
        <v>1.1000000000000001</v>
      </c>
      <c r="N20" t="s">
        <v>105</v>
      </c>
      <c r="O20" s="459">
        <v>45383</v>
      </c>
      <c r="P20" s="9" t="s">
        <v>336</v>
      </c>
    </row>
    <row r="21" spans="2:20" x14ac:dyDescent="0.2">
      <c r="B21" t="s">
        <v>608</v>
      </c>
      <c r="C21" s="111" t="s">
        <v>22</v>
      </c>
      <c r="D21" t="s">
        <v>162</v>
      </c>
      <c r="G21" s="397">
        <f t="shared" si="0"/>
        <v>4.3575000000000008</v>
      </c>
      <c r="H21" t="str">
        <f t="shared" si="1"/>
        <v>kgCO2e/m2</v>
      </c>
      <c r="I21" s="267">
        <v>4.1500000000000004</v>
      </c>
      <c r="J21" t="s">
        <v>179</v>
      </c>
      <c r="K21" s="267">
        <v>0.81499999999999995</v>
      </c>
      <c r="L21" t="s">
        <v>150</v>
      </c>
      <c r="M21" s="274">
        <v>1.05</v>
      </c>
      <c r="N21" t="s">
        <v>105</v>
      </c>
      <c r="O21" s="459">
        <v>45383</v>
      </c>
      <c r="P21" s="9" t="s">
        <v>157</v>
      </c>
    </row>
    <row r="22" spans="2:20" ht="15" x14ac:dyDescent="0.25">
      <c r="B22" t="s">
        <v>608</v>
      </c>
      <c r="C22" s="111" t="s">
        <v>373</v>
      </c>
      <c r="D22" t="s">
        <v>162</v>
      </c>
      <c r="G22" s="397">
        <f t="shared" si="0"/>
        <v>0.23071510000000003</v>
      </c>
      <c r="H22" t="str">
        <f t="shared" si="1"/>
        <v>kgCO2e/m2</v>
      </c>
      <c r="I22" s="267">
        <f>K22*(0.95/1000)*100</f>
        <v>0.20974100000000001</v>
      </c>
      <c r="J22" t="s">
        <v>179</v>
      </c>
      <c r="K22" s="267">
        <v>2.2078000000000002</v>
      </c>
      <c r="L22" t="s">
        <v>150</v>
      </c>
      <c r="M22" s="274">
        <v>1.1000000000000001</v>
      </c>
      <c r="N22" t="s">
        <v>757</v>
      </c>
      <c r="O22" s="459">
        <v>45383</v>
      </c>
      <c r="P22" s="9" t="s">
        <v>755</v>
      </c>
      <c r="T22" t="s">
        <v>784</v>
      </c>
    </row>
    <row r="23" spans="2:20" x14ac:dyDescent="0.2">
      <c r="B23" t="s">
        <v>608</v>
      </c>
      <c r="C23" s="111" t="s">
        <v>363</v>
      </c>
      <c r="D23" t="s">
        <v>252</v>
      </c>
      <c r="G23" s="397">
        <f t="shared" si="0"/>
        <v>4.2000000000000006E-3</v>
      </c>
      <c r="H23" t="str">
        <f t="shared" si="1"/>
        <v>kgCO2e/kg</v>
      </c>
      <c r="I23" s="267">
        <v>4.0000000000000001E-3</v>
      </c>
      <c r="J23" t="s">
        <v>150</v>
      </c>
      <c r="M23" s="274">
        <v>1.05</v>
      </c>
      <c r="N23" t="s">
        <v>105</v>
      </c>
      <c r="O23" s="459">
        <v>45383</v>
      </c>
      <c r="P23" s="9" t="s">
        <v>152</v>
      </c>
    </row>
    <row r="24" spans="2:20" x14ac:dyDescent="0.2">
      <c r="B24" t="s">
        <v>608</v>
      </c>
      <c r="C24" s="111" t="s">
        <v>364</v>
      </c>
      <c r="D24" t="s">
        <v>252</v>
      </c>
      <c r="G24" s="397">
        <f t="shared" si="0"/>
        <v>0</v>
      </c>
      <c r="H24" t="str">
        <f t="shared" si="1"/>
        <v>kgCO2e/kg</v>
      </c>
      <c r="I24" s="267">
        <v>0</v>
      </c>
      <c r="J24" t="s">
        <v>150</v>
      </c>
      <c r="M24" s="274">
        <v>1</v>
      </c>
      <c r="O24" s="459">
        <v>45383</v>
      </c>
      <c r="P24" t="s">
        <v>387</v>
      </c>
    </row>
    <row r="25" spans="2:20" x14ac:dyDescent="0.2">
      <c r="B25" t="s">
        <v>608</v>
      </c>
      <c r="C25" s="111" t="s">
        <v>733</v>
      </c>
      <c r="D25" t="s">
        <v>693</v>
      </c>
      <c r="G25" s="398"/>
      <c r="O25" s="458"/>
    </row>
    <row r="26" spans="2:20" x14ac:dyDescent="0.2">
      <c r="B26" t="s">
        <v>608</v>
      </c>
      <c r="C26" s="111"/>
      <c r="G26" s="398"/>
      <c r="O26" s="458"/>
    </row>
    <row r="27" spans="2:20" x14ac:dyDescent="0.2">
      <c r="B27" t="s">
        <v>608</v>
      </c>
      <c r="C27" s="111"/>
      <c r="G27" s="398"/>
      <c r="O27" s="458"/>
    </row>
    <row r="28" spans="2:20" x14ac:dyDescent="0.2">
      <c r="B28" t="s">
        <v>608</v>
      </c>
      <c r="C28" s="111"/>
      <c r="G28" s="398"/>
      <c r="O28" s="458"/>
    </row>
    <row r="29" spans="2:20" x14ac:dyDescent="0.2">
      <c r="B29" t="s">
        <v>608</v>
      </c>
      <c r="C29" s="111"/>
      <c r="G29" s="398"/>
      <c r="O29" s="458"/>
    </row>
    <row r="30" spans="2:20" x14ac:dyDescent="0.2">
      <c r="B30" t="s">
        <v>608</v>
      </c>
      <c r="C30" s="111"/>
      <c r="G30" s="398"/>
      <c r="O30" s="458"/>
    </row>
    <row r="31" spans="2:20" x14ac:dyDescent="0.2">
      <c r="B31" t="s">
        <v>608</v>
      </c>
      <c r="C31" s="111"/>
      <c r="G31" s="398"/>
      <c r="O31" s="458"/>
    </row>
    <row r="32" spans="2:20" x14ac:dyDescent="0.2">
      <c r="G32" s="398"/>
      <c r="O32" s="458"/>
    </row>
    <row r="33" spans="2:20" x14ac:dyDescent="0.2">
      <c r="B33" t="s">
        <v>586</v>
      </c>
      <c r="C33" s="111" t="s">
        <v>325</v>
      </c>
      <c r="D33" t="s">
        <v>252</v>
      </c>
      <c r="G33" s="397">
        <f t="shared" ref="G33:G42" si="2">I33*M33</f>
        <v>0.315</v>
      </c>
      <c r="H33" t="str">
        <f>J33</f>
        <v>kgCO2e/kg</v>
      </c>
      <c r="I33" s="267">
        <v>0.3</v>
      </c>
      <c r="J33" t="s">
        <v>150</v>
      </c>
      <c r="M33" s="206">
        <v>1.05</v>
      </c>
      <c r="N33" t="s">
        <v>105</v>
      </c>
      <c r="O33" s="459">
        <v>45383</v>
      </c>
      <c r="P33" s="9" t="s">
        <v>333</v>
      </c>
      <c r="T33" t="s">
        <v>334</v>
      </c>
    </row>
    <row r="34" spans="2:20" x14ac:dyDescent="0.2">
      <c r="B34" t="s">
        <v>586</v>
      </c>
      <c r="C34" s="111" t="s">
        <v>389</v>
      </c>
      <c r="D34" t="s">
        <v>252</v>
      </c>
      <c r="G34" s="397">
        <f t="shared" si="2"/>
        <v>0.3276</v>
      </c>
      <c r="H34" t="str">
        <f t="shared" ref="H34:H42" si="3">J34</f>
        <v>kgCO2e/kg</v>
      </c>
      <c r="I34" s="267">
        <v>0.312</v>
      </c>
      <c r="J34" t="s">
        <v>150</v>
      </c>
      <c r="M34" s="206">
        <v>1.05</v>
      </c>
      <c r="N34" t="s">
        <v>757</v>
      </c>
      <c r="O34" s="459">
        <v>45383</v>
      </c>
      <c r="P34" s="9" t="s">
        <v>758</v>
      </c>
      <c r="T34" t="s">
        <v>769</v>
      </c>
    </row>
    <row r="35" spans="2:20" x14ac:dyDescent="0.2">
      <c r="B35" t="s">
        <v>586</v>
      </c>
      <c r="C35" s="111" t="s">
        <v>326</v>
      </c>
      <c r="D35" t="s">
        <v>252</v>
      </c>
      <c r="G35" s="397">
        <f t="shared" si="2"/>
        <v>5.2500000000000003E-3</v>
      </c>
      <c r="H35" t="str">
        <f t="shared" si="3"/>
        <v>kgCO2e/kg</v>
      </c>
      <c r="I35" s="206">
        <v>5.0000000000000001E-3</v>
      </c>
      <c r="J35" t="s">
        <v>150</v>
      </c>
      <c r="M35" s="206">
        <v>1.05</v>
      </c>
      <c r="O35" s="459">
        <v>45383</v>
      </c>
      <c r="T35" t="s">
        <v>338</v>
      </c>
    </row>
    <row r="36" spans="2:20" x14ac:dyDescent="0.2">
      <c r="B36" t="s">
        <v>586</v>
      </c>
      <c r="C36" s="111" t="s">
        <v>344</v>
      </c>
      <c r="D36" t="s">
        <v>162</v>
      </c>
      <c r="G36" s="397">
        <f t="shared" si="2"/>
        <v>1.0681</v>
      </c>
      <c r="H36" t="str">
        <f t="shared" si="3"/>
        <v>kgCO2e/m2</v>
      </c>
      <c r="I36" s="206">
        <v>0.97099999999999997</v>
      </c>
      <c r="J36" t="s">
        <v>179</v>
      </c>
      <c r="K36" s="267">
        <v>2.2000000000000002</v>
      </c>
      <c r="L36" t="s">
        <v>150</v>
      </c>
      <c r="M36" s="274">
        <v>1.1000000000000001</v>
      </c>
      <c r="N36" t="s">
        <v>105</v>
      </c>
      <c r="O36" s="459">
        <v>45383</v>
      </c>
      <c r="P36" s="9" t="s">
        <v>336</v>
      </c>
      <c r="T36" t="s">
        <v>337</v>
      </c>
    </row>
    <row r="37" spans="2:20" x14ac:dyDescent="0.2">
      <c r="B37" t="s">
        <v>586</v>
      </c>
      <c r="C37" s="111" t="s">
        <v>327</v>
      </c>
      <c r="D37" t="s">
        <v>252</v>
      </c>
      <c r="G37" s="397">
        <f t="shared" si="2"/>
        <v>0</v>
      </c>
      <c r="H37" t="str">
        <f t="shared" si="3"/>
        <v>kgCO2e/kg</v>
      </c>
      <c r="I37" s="206">
        <v>0</v>
      </c>
      <c r="J37" t="s">
        <v>150</v>
      </c>
      <c r="M37" s="274">
        <f>AVERAGE(M11:M16)</f>
        <v>1</v>
      </c>
      <c r="O37" s="459">
        <v>45383</v>
      </c>
      <c r="T37" t="s">
        <v>546</v>
      </c>
    </row>
    <row r="38" spans="2:20" x14ac:dyDescent="0.2">
      <c r="B38" t="s">
        <v>586</v>
      </c>
      <c r="C38" s="111" t="s">
        <v>328</v>
      </c>
      <c r="D38" t="s">
        <v>252</v>
      </c>
      <c r="G38" s="397">
        <f t="shared" si="2"/>
        <v>0</v>
      </c>
      <c r="H38" t="str">
        <f t="shared" si="3"/>
        <v>kgCO2e/kg</v>
      </c>
      <c r="I38" s="206">
        <v>0</v>
      </c>
      <c r="J38" t="s">
        <v>150</v>
      </c>
      <c r="M38" s="274">
        <f>AVERAGE(M11:M16)</f>
        <v>1</v>
      </c>
      <c r="O38" s="459">
        <v>45383</v>
      </c>
      <c r="T38" t="s">
        <v>546</v>
      </c>
    </row>
    <row r="39" spans="2:20" x14ac:dyDescent="0.2">
      <c r="B39" t="s">
        <v>586</v>
      </c>
      <c r="C39" s="111" t="s">
        <v>329</v>
      </c>
      <c r="D39" t="s">
        <v>252</v>
      </c>
      <c r="G39" s="397">
        <f t="shared" si="2"/>
        <v>0</v>
      </c>
      <c r="H39" t="str">
        <f t="shared" si="3"/>
        <v>kgCO2e/kg</v>
      </c>
      <c r="I39" s="206">
        <v>0</v>
      </c>
      <c r="J39" t="s">
        <v>150</v>
      </c>
      <c r="M39" s="274">
        <f>AVERAGE(M11:M16)</f>
        <v>1</v>
      </c>
      <c r="O39" s="459">
        <v>45383</v>
      </c>
      <c r="T39" t="s">
        <v>546</v>
      </c>
    </row>
    <row r="40" spans="2:20" x14ac:dyDescent="0.2">
      <c r="B40" t="s">
        <v>586</v>
      </c>
      <c r="C40" s="111" t="s">
        <v>21</v>
      </c>
      <c r="D40" t="s">
        <v>162</v>
      </c>
      <c r="G40" s="397">
        <f t="shared" si="2"/>
        <v>0.74139999999999995</v>
      </c>
      <c r="H40" t="str">
        <f t="shared" si="3"/>
        <v>kgCO2e/m2</v>
      </c>
      <c r="I40" s="267">
        <f>AVERAGE(0.27,0.44,0.65,0.86,1.15)</f>
        <v>0.67399999999999993</v>
      </c>
      <c r="J40" t="s">
        <v>179</v>
      </c>
      <c r="K40" s="267">
        <f>3.23</f>
        <v>3.23</v>
      </c>
      <c r="L40" t="s">
        <v>150</v>
      </c>
      <c r="M40" s="274">
        <v>1.1000000000000001</v>
      </c>
      <c r="N40" t="s">
        <v>105</v>
      </c>
      <c r="O40" s="459">
        <v>45383</v>
      </c>
      <c r="P40" s="9" t="s">
        <v>336</v>
      </c>
      <c r="T40" t="s">
        <v>335</v>
      </c>
    </row>
    <row r="41" spans="2:20" x14ac:dyDescent="0.2">
      <c r="B41" t="s">
        <v>586</v>
      </c>
      <c r="C41" s="111" t="s">
        <v>330</v>
      </c>
      <c r="D41" t="s">
        <v>162</v>
      </c>
      <c r="G41" s="397">
        <f t="shared" si="2"/>
        <v>0.44769999999999999</v>
      </c>
      <c r="H41" t="str">
        <f t="shared" si="3"/>
        <v>kgCO2e/m2</v>
      </c>
      <c r="I41" s="267">
        <v>0.40699999999999997</v>
      </c>
      <c r="J41" t="s">
        <v>179</v>
      </c>
      <c r="M41" s="274">
        <v>1.1000000000000001</v>
      </c>
      <c r="N41" t="s">
        <v>105</v>
      </c>
      <c r="O41" s="459">
        <v>45383</v>
      </c>
      <c r="P41" s="9" t="s">
        <v>707</v>
      </c>
    </row>
    <row r="42" spans="2:20" ht="15" x14ac:dyDescent="0.25">
      <c r="B42" t="s">
        <v>586</v>
      </c>
      <c r="C42" s="111" t="s">
        <v>373</v>
      </c>
      <c r="D42" t="s">
        <v>162</v>
      </c>
      <c r="G42" s="397">
        <f t="shared" si="2"/>
        <v>0.23071510000000003</v>
      </c>
      <c r="H42" t="str">
        <f t="shared" si="3"/>
        <v>kgCO2e/m2</v>
      </c>
      <c r="I42" s="267">
        <f>K42*(0.95/1000)*100</f>
        <v>0.20974100000000001</v>
      </c>
      <c r="J42" t="s">
        <v>179</v>
      </c>
      <c r="K42" s="267">
        <v>2.2078000000000002</v>
      </c>
      <c r="L42" t="s">
        <v>150</v>
      </c>
      <c r="M42" s="274">
        <v>1.1000000000000001</v>
      </c>
      <c r="N42" t="s">
        <v>757</v>
      </c>
      <c r="O42" s="459">
        <v>45383</v>
      </c>
      <c r="P42" s="9" t="s">
        <v>755</v>
      </c>
      <c r="T42" t="s">
        <v>784</v>
      </c>
    </row>
    <row r="43" spans="2:20" x14ac:dyDescent="0.2">
      <c r="B43" t="s">
        <v>586</v>
      </c>
      <c r="C43" s="111" t="s">
        <v>733</v>
      </c>
      <c r="D43" t="s">
        <v>693</v>
      </c>
      <c r="G43" s="397"/>
      <c r="I43" s="267"/>
      <c r="O43" s="458"/>
    </row>
    <row r="44" spans="2:20" x14ac:dyDescent="0.2">
      <c r="B44" t="s">
        <v>586</v>
      </c>
      <c r="C44" s="111"/>
      <c r="G44" s="397"/>
      <c r="I44" s="267"/>
      <c r="O44" s="458"/>
    </row>
    <row r="45" spans="2:20" x14ac:dyDescent="0.2">
      <c r="B45" t="s">
        <v>586</v>
      </c>
      <c r="C45" s="111"/>
      <c r="G45" s="397"/>
      <c r="I45" s="267"/>
      <c r="O45" s="458"/>
    </row>
    <row r="46" spans="2:20" x14ac:dyDescent="0.2">
      <c r="B46" t="s">
        <v>586</v>
      </c>
      <c r="C46" s="111"/>
      <c r="G46" s="397"/>
      <c r="I46" s="267"/>
      <c r="O46" s="458"/>
    </row>
    <row r="47" spans="2:20" x14ac:dyDescent="0.2">
      <c r="O47" s="458"/>
    </row>
    <row r="48" spans="2:20" x14ac:dyDescent="0.2">
      <c r="B48" t="s">
        <v>734</v>
      </c>
      <c r="C48" s="111" t="s">
        <v>359</v>
      </c>
      <c r="D48" t="s">
        <v>285</v>
      </c>
      <c r="G48" s="397">
        <f>I48*M48</f>
        <v>8.4</v>
      </c>
      <c r="H48" t="str">
        <f>J48</f>
        <v>kgCO2e/m</v>
      </c>
      <c r="I48" s="267">
        <v>8</v>
      </c>
      <c r="J48" t="s">
        <v>367</v>
      </c>
      <c r="K48" s="267">
        <v>2.12</v>
      </c>
      <c r="L48" t="s">
        <v>150</v>
      </c>
      <c r="M48" s="206">
        <v>1.05</v>
      </c>
      <c r="N48" t="s">
        <v>105</v>
      </c>
      <c r="O48" s="459">
        <v>45383</v>
      </c>
      <c r="P48" s="9" t="s">
        <v>336</v>
      </c>
      <c r="T48" t="s">
        <v>368</v>
      </c>
    </row>
    <row r="49" spans="2:20" x14ac:dyDescent="0.2">
      <c r="B49" t="s">
        <v>734</v>
      </c>
      <c r="C49" s="111" t="s">
        <v>21</v>
      </c>
      <c r="D49" t="s">
        <v>162</v>
      </c>
      <c r="G49" s="397">
        <f t="shared" ref="G49:G62" si="4">I49*M49</f>
        <v>0.74139999999999995</v>
      </c>
      <c r="H49" t="str">
        <f t="shared" ref="H49:H62" si="5">J49</f>
        <v>kgCO2e/m2</v>
      </c>
      <c r="I49" s="267">
        <f>AVERAGE(0.27,0.44,0.65,0.86,1.15)</f>
        <v>0.67399999999999993</v>
      </c>
      <c r="J49" t="s">
        <v>179</v>
      </c>
      <c r="K49" s="267">
        <f>3.23</f>
        <v>3.23</v>
      </c>
      <c r="L49" t="s">
        <v>150</v>
      </c>
      <c r="M49" s="274">
        <v>1.1000000000000001</v>
      </c>
      <c r="N49" t="s">
        <v>105</v>
      </c>
      <c r="O49" s="459">
        <v>45383</v>
      </c>
      <c r="P49" s="9" t="s">
        <v>336</v>
      </c>
      <c r="T49" t="s">
        <v>335</v>
      </c>
    </row>
    <row r="50" spans="2:20" x14ac:dyDescent="0.2">
      <c r="B50" t="s">
        <v>734</v>
      </c>
      <c r="C50" s="111" t="s">
        <v>363</v>
      </c>
      <c r="D50" t="s">
        <v>252</v>
      </c>
      <c r="G50" s="397">
        <f t="shared" si="4"/>
        <v>4.2000000000000006E-3</v>
      </c>
      <c r="H50" t="str">
        <f t="shared" si="5"/>
        <v>kgCO2e/kg</v>
      </c>
      <c r="I50" s="267">
        <v>4.0000000000000001E-3</v>
      </c>
      <c r="J50" t="s">
        <v>150</v>
      </c>
      <c r="M50" s="274">
        <v>1.05</v>
      </c>
      <c r="N50" t="s">
        <v>105</v>
      </c>
      <c r="O50" s="459">
        <v>45383</v>
      </c>
      <c r="P50" s="9" t="s">
        <v>152</v>
      </c>
    </row>
    <row r="51" spans="2:20" x14ac:dyDescent="0.2">
      <c r="B51" t="s">
        <v>734</v>
      </c>
      <c r="C51" s="111" t="s">
        <v>364</v>
      </c>
      <c r="D51" t="s">
        <v>252</v>
      </c>
      <c r="G51" s="397">
        <f t="shared" si="4"/>
        <v>0</v>
      </c>
      <c r="H51" t="str">
        <f t="shared" si="5"/>
        <v>kgCO2e/kg</v>
      </c>
      <c r="I51" s="267">
        <v>0</v>
      </c>
      <c r="J51" t="s">
        <v>150</v>
      </c>
      <c r="M51" s="274">
        <v>1</v>
      </c>
      <c r="O51" s="459">
        <v>45383</v>
      </c>
      <c r="P51" t="s">
        <v>387</v>
      </c>
    </row>
    <row r="52" spans="2:20" x14ac:dyDescent="0.2">
      <c r="B52" t="s">
        <v>734</v>
      </c>
      <c r="C52" s="111" t="s">
        <v>22</v>
      </c>
      <c r="D52" t="s">
        <v>162</v>
      </c>
      <c r="G52" s="397">
        <f t="shared" si="4"/>
        <v>4.3575000000000008</v>
      </c>
      <c r="H52" t="str">
        <f t="shared" si="5"/>
        <v>kgCO2e/m2</v>
      </c>
      <c r="I52" s="267">
        <v>4.1500000000000004</v>
      </c>
      <c r="J52" t="s">
        <v>179</v>
      </c>
      <c r="K52" s="267">
        <v>0.81499999999999995</v>
      </c>
      <c r="L52" t="s">
        <v>150</v>
      </c>
      <c r="M52" s="274">
        <v>1.05</v>
      </c>
      <c r="N52" t="s">
        <v>105</v>
      </c>
      <c r="O52" s="459">
        <v>45383</v>
      </c>
      <c r="P52" s="9" t="s">
        <v>157</v>
      </c>
    </row>
    <row r="53" spans="2:20" ht="15" x14ac:dyDescent="0.25">
      <c r="B53" t="s">
        <v>734</v>
      </c>
      <c r="C53" s="111" t="s">
        <v>373</v>
      </c>
      <c r="D53" t="s">
        <v>162</v>
      </c>
      <c r="G53" s="397">
        <f>I53*M53</f>
        <v>0.23071510000000003</v>
      </c>
      <c r="H53" t="str">
        <f>J53</f>
        <v>kgCO2e/m2</v>
      </c>
      <c r="I53" s="267">
        <f>K53*(0.95/1000)*100</f>
        <v>0.20974100000000001</v>
      </c>
      <c r="J53" t="s">
        <v>179</v>
      </c>
      <c r="K53" s="267">
        <v>2.2078000000000002</v>
      </c>
      <c r="L53" t="s">
        <v>150</v>
      </c>
      <c r="M53" s="274">
        <v>1.1000000000000001</v>
      </c>
      <c r="N53" t="s">
        <v>757</v>
      </c>
      <c r="O53" s="459">
        <v>45383</v>
      </c>
      <c r="P53" s="9" t="s">
        <v>755</v>
      </c>
      <c r="T53" t="s">
        <v>784</v>
      </c>
    </row>
    <row r="54" spans="2:20" x14ac:dyDescent="0.2">
      <c r="B54" t="s">
        <v>734</v>
      </c>
      <c r="C54" s="111" t="s">
        <v>365</v>
      </c>
      <c r="D54" t="s">
        <v>252</v>
      </c>
      <c r="G54" s="397">
        <f t="shared" si="4"/>
        <v>0.53</v>
      </c>
      <c r="H54" t="str">
        <f t="shared" si="5"/>
        <v>kgCO2e/kg</v>
      </c>
      <c r="I54" s="267">
        <v>0.53</v>
      </c>
      <c r="J54" t="s">
        <v>150</v>
      </c>
      <c r="M54" s="274">
        <v>1</v>
      </c>
      <c r="N54" t="s">
        <v>756</v>
      </c>
      <c r="O54" s="459">
        <v>45383</v>
      </c>
      <c r="P54" s="9" t="s">
        <v>759</v>
      </c>
      <c r="T54" t="s">
        <v>785</v>
      </c>
    </row>
    <row r="55" spans="2:20" ht="15" x14ac:dyDescent="0.25">
      <c r="B55" t="s">
        <v>734</v>
      </c>
      <c r="C55" s="111" t="s">
        <v>366</v>
      </c>
      <c r="D55" t="s">
        <v>252</v>
      </c>
      <c r="G55" s="397">
        <f t="shared" si="4"/>
        <v>9.1620000000000008</v>
      </c>
      <c r="H55" t="str">
        <f t="shared" si="5"/>
        <v>kgCO2e/kg</v>
      </c>
      <c r="I55" s="267">
        <v>9.1620000000000008</v>
      </c>
      <c r="J55" t="s">
        <v>150</v>
      </c>
      <c r="M55" s="274">
        <v>1</v>
      </c>
      <c r="N55" t="s">
        <v>775</v>
      </c>
      <c r="O55" s="459">
        <v>45383</v>
      </c>
      <c r="P55" s="9" t="s">
        <v>773</v>
      </c>
      <c r="T55" t="s">
        <v>774</v>
      </c>
    </row>
    <row r="56" spans="2:20" x14ac:dyDescent="0.2">
      <c r="B56" t="s">
        <v>734</v>
      </c>
      <c r="C56" s="111" t="s">
        <v>361</v>
      </c>
      <c r="D56" t="s">
        <v>252</v>
      </c>
      <c r="G56" s="397">
        <f t="shared" si="4"/>
        <v>2.0518000000000001</v>
      </c>
      <c r="H56" t="str">
        <f t="shared" si="5"/>
        <v>kgCO2e/kg</v>
      </c>
      <c r="I56" s="267">
        <v>2.0518000000000001</v>
      </c>
      <c r="J56" t="s">
        <v>150</v>
      </c>
      <c r="M56" s="274">
        <v>1</v>
      </c>
      <c r="N56" t="s">
        <v>764</v>
      </c>
      <c r="O56" s="459">
        <v>45383</v>
      </c>
      <c r="P56" s="9" t="s">
        <v>763</v>
      </c>
      <c r="T56" t="s">
        <v>786</v>
      </c>
    </row>
    <row r="57" spans="2:20" x14ac:dyDescent="0.2">
      <c r="B57" t="s">
        <v>734</v>
      </c>
      <c r="C57" s="10" t="s">
        <v>360</v>
      </c>
      <c r="D57" t="s">
        <v>252</v>
      </c>
      <c r="G57" s="397">
        <f t="shared" si="4"/>
        <v>0.4647</v>
      </c>
      <c r="H57" t="str">
        <f t="shared" si="5"/>
        <v>kgCO2e/kg</v>
      </c>
      <c r="I57" s="267">
        <v>0.4647</v>
      </c>
      <c r="J57" t="s">
        <v>150</v>
      </c>
      <c r="M57" s="274">
        <v>1</v>
      </c>
      <c r="N57" t="s">
        <v>760</v>
      </c>
      <c r="O57" s="459">
        <v>45383</v>
      </c>
      <c r="P57" s="9" t="s">
        <v>761</v>
      </c>
      <c r="T57" t="s">
        <v>787</v>
      </c>
    </row>
    <row r="58" spans="2:20" x14ac:dyDescent="0.2">
      <c r="B58" t="s">
        <v>734</v>
      </c>
      <c r="C58" s="10" t="s">
        <v>384</v>
      </c>
      <c r="D58" t="s">
        <v>252</v>
      </c>
      <c r="G58" s="397">
        <f t="shared" si="4"/>
        <v>3.6</v>
      </c>
      <c r="H58" t="str">
        <f t="shared" si="5"/>
        <v>kgCO2e/kg</v>
      </c>
      <c r="I58" s="267">
        <v>3.6</v>
      </c>
      <c r="J58" t="s">
        <v>150</v>
      </c>
      <c r="M58" s="274">
        <v>1</v>
      </c>
      <c r="N58" t="s">
        <v>105</v>
      </c>
      <c r="O58" s="459">
        <v>45383</v>
      </c>
      <c r="P58" s="9" t="s">
        <v>157</v>
      </c>
    </row>
    <row r="59" spans="2:20" x14ac:dyDescent="0.2">
      <c r="B59" t="s">
        <v>734</v>
      </c>
      <c r="C59" s="10" t="s">
        <v>369</v>
      </c>
      <c r="D59" t="s">
        <v>252</v>
      </c>
      <c r="G59" s="397">
        <f t="shared" si="4"/>
        <v>2.1</v>
      </c>
      <c r="H59" t="str">
        <f t="shared" si="5"/>
        <v>kgCO2e/kg</v>
      </c>
      <c r="I59" s="267">
        <v>2.1</v>
      </c>
      <c r="J59" t="s">
        <v>150</v>
      </c>
      <c r="M59" s="274">
        <v>1</v>
      </c>
      <c r="N59" t="s">
        <v>767</v>
      </c>
      <c r="O59" s="459">
        <v>45383</v>
      </c>
      <c r="P59" s="9" t="s">
        <v>766</v>
      </c>
      <c r="T59" t="s">
        <v>770</v>
      </c>
    </row>
    <row r="60" spans="2:20" x14ac:dyDescent="0.2">
      <c r="B60" t="s">
        <v>734</v>
      </c>
      <c r="C60" s="10" t="s">
        <v>370</v>
      </c>
      <c r="D60" t="s">
        <v>252</v>
      </c>
      <c r="G60" s="397">
        <f t="shared" si="4"/>
        <v>1.1000000000000001</v>
      </c>
      <c r="H60" t="str">
        <f t="shared" si="5"/>
        <v>kgCO2e/kg</v>
      </c>
      <c r="I60" s="267">
        <v>1.1000000000000001</v>
      </c>
      <c r="J60" t="s">
        <v>150</v>
      </c>
      <c r="M60" s="274">
        <v>1</v>
      </c>
      <c r="N60" t="s">
        <v>767</v>
      </c>
      <c r="O60" s="459">
        <v>45383</v>
      </c>
      <c r="P60" s="9" t="s">
        <v>766</v>
      </c>
      <c r="T60" t="s">
        <v>771</v>
      </c>
    </row>
    <row r="61" spans="2:20" x14ac:dyDescent="0.2">
      <c r="B61" t="s">
        <v>734</v>
      </c>
      <c r="C61" s="10" t="s">
        <v>371</v>
      </c>
      <c r="D61" t="s">
        <v>252</v>
      </c>
      <c r="G61" s="397">
        <f t="shared" si="4"/>
        <v>9.5</v>
      </c>
      <c r="H61" t="str">
        <f t="shared" si="5"/>
        <v>kgCO2e/kg</v>
      </c>
      <c r="I61" s="267">
        <v>9.5</v>
      </c>
      <c r="J61" t="s">
        <v>150</v>
      </c>
      <c r="M61" s="274">
        <v>1</v>
      </c>
      <c r="N61" t="s">
        <v>767</v>
      </c>
      <c r="O61" s="459">
        <v>45383</v>
      </c>
      <c r="P61" s="9" t="s">
        <v>766</v>
      </c>
      <c r="T61" t="s">
        <v>772</v>
      </c>
    </row>
    <row r="62" spans="2:20" x14ac:dyDescent="0.2">
      <c r="B62" t="s">
        <v>734</v>
      </c>
      <c r="C62" s="10" t="s">
        <v>362</v>
      </c>
      <c r="D62" t="s">
        <v>252</v>
      </c>
      <c r="G62" s="397">
        <f t="shared" si="4"/>
        <v>0.36</v>
      </c>
      <c r="H62" t="str">
        <f t="shared" si="5"/>
        <v>kgCO2e/kg</v>
      </c>
      <c r="I62" s="267">
        <v>0.36</v>
      </c>
      <c r="J62" t="s">
        <v>150</v>
      </c>
      <c r="M62" s="274">
        <v>1</v>
      </c>
      <c r="N62" t="s">
        <v>105</v>
      </c>
      <c r="O62" s="459">
        <v>45383</v>
      </c>
      <c r="P62" s="9" t="s">
        <v>157</v>
      </c>
      <c r="T62" t="s">
        <v>372</v>
      </c>
    </row>
    <row r="63" spans="2:20" x14ac:dyDescent="0.2">
      <c r="B63" t="s">
        <v>734</v>
      </c>
      <c r="C63" s="111" t="s">
        <v>733</v>
      </c>
      <c r="D63" t="s">
        <v>693</v>
      </c>
      <c r="G63" s="397"/>
      <c r="I63" s="267"/>
      <c r="M63" s="274"/>
      <c r="O63" s="458"/>
    </row>
    <row r="64" spans="2:20" x14ac:dyDescent="0.2">
      <c r="B64" t="s">
        <v>734</v>
      </c>
      <c r="C64" s="111"/>
      <c r="G64" s="397"/>
      <c r="I64" s="267"/>
      <c r="M64" s="274"/>
      <c r="O64" s="458"/>
    </row>
    <row r="65" spans="2:20" x14ac:dyDescent="0.2">
      <c r="B65" t="s">
        <v>734</v>
      </c>
      <c r="C65" s="111"/>
      <c r="G65" s="397"/>
      <c r="I65" s="267"/>
      <c r="M65" s="274"/>
      <c r="O65" s="458"/>
    </row>
    <row r="66" spans="2:20" x14ac:dyDescent="0.2">
      <c r="B66" t="s">
        <v>734</v>
      </c>
      <c r="C66" s="111"/>
      <c r="G66" s="397"/>
      <c r="I66" s="267"/>
      <c r="M66" s="274"/>
      <c r="O66" s="458"/>
    </row>
    <row r="67" spans="2:20" x14ac:dyDescent="0.2">
      <c r="C67" s="111"/>
      <c r="G67" s="397"/>
      <c r="I67" s="267"/>
      <c r="M67" s="274"/>
      <c r="O67" s="458"/>
    </row>
    <row r="68" spans="2:20" x14ac:dyDescent="0.2">
      <c r="B68" t="s">
        <v>374</v>
      </c>
      <c r="C68" s="111" t="s">
        <v>359</v>
      </c>
      <c r="D68" t="s">
        <v>285</v>
      </c>
      <c r="G68" s="397">
        <f t="shared" ref="G68:G81" si="6">I68*M68</f>
        <v>8.4</v>
      </c>
      <c r="H68" t="str">
        <f t="shared" ref="H68:H81" si="7">J68</f>
        <v>kgCO2e/m</v>
      </c>
      <c r="I68" s="267">
        <v>8</v>
      </c>
      <c r="J68" t="s">
        <v>367</v>
      </c>
      <c r="K68" s="267">
        <v>2.12</v>
      </c>
      <c r="L68" t="s">
        <v>150</v>
      </c>
      <c r="M68" s="206">
        <v>1.05</v>
      </c>
      <c r="N68" t="s">
        <v>105</v>
      </c>
      <c r="O68" s="459">
        <v>45383</v>
      </c>
      <c r="P68" s="9" t="s">
        <v>336</v>
      </c>
      <c r="T68" t="s">
        <v>368</v>
      </c>
    </row>
    <row r="69" spans="2:20" x14ac:dyDescent="0.2">
      <c r="B69" t="s">
        <v>374</v>
      </c>
      <c r="C69" s="111" t="s">
        <v>21</v>
      </c>
      <c r="D69" t="s">
        <v>162</v>
      </c>
      <c r="G69" s="397">
        <f t="shared" si="6"/>
        <v>0.74139999999999995</v>
      </c>
      <c r="H69" t="str">
        <f t="shared" si="7"/>
        <v>kgCO2e/m2</v>
      </c>
      <c r="I69" s="267">
        <f>AVERAGE(0.27,0.44,0.65,0.86,1.15)</f>
        <v>0.67399999999999993</v>
      </c>
      <c r="J69" t="s">
        <v>179</v>
      </c>
      <c r="K69" s="267">
        <f>3.23</f>
        <v>3.23</v>
      </c>
      <c r="L69" t="s">
        <v>150</v>
      </c>
      <c r="M69" s="274">
        <v>1.1000000000000001</v>
      </c>
      <c r="N69" t="s">
        <v>105</v>
      </c>
      <c r="O69" s="459">
        <v>45383</v>
      </c>
      <c r="P69" s="9" t="s">
        <v>336</v>
      </c>
      <c r="T69" t="s">
        <v>335</v>
      </c>
    </row>
    <row r="70" spans="2:20" x14ac:dyDescent="0.2">
      <c r="B70" t="s">
        <v>374</v>
      </c>
      <c r="C70" s="111" t="s">
        <v>363</v>
      </c>
      <c r="D70" t="s">
        <v>252</v>
      </c>
      <c r="G70" s="397">
        <f t="shared" si="6"/>
        <v>4.2000000000000006E-3</v>
      </c>
      <c r="H70" t="str">
        <f t="shared" si="7"/>
        <v>kgCO2e/kg</v>
      </c>
      <c r="I70" s="267">
        <v>4.0000000000000001E-3</v>
      </c>
      <c r="J70" t="s">
        <v>150</v>
      </c>
      <c r="M70" s="274">
        <v>1.05</v>
      </c>
      <c r="N70" t="s">
        <v>105</v>
      </c>
      <c r="O70" s="459">
        <v>45383</v>
      </c>
      <c r="P70" s="9" t="s">
        <v>152</v>
      </c>
    </row>
    <row r="71" spans="2:20" x14ac:dyDescent="0.2">
      <c r="B71" t="s">
        <v>374</v>
      </c>
      <c r="C71" s="111" t="s">
        <v>364</v>
      </c>
      <c r="D71" t="s">
        <v>252</v>
      </c>
      <c r="G71" s="397">
        <f t="shared" si="6"/>
        <v>0</v>
      </c>
      <c r="H71" t="str">
        <f t="shared" si="7"/>
        <v>kgCO2e/kg</v>
      </c>
      <c r="I71" s="267">
        <v>0</v>
      </c>
      <c r="J71" t="s">
        <v>150</v>
      </c>
      <c r="M71" s="274">
        <v>1</v>
      </c>
      <c r="O71" s="459">
        <v>45383</v>
      </c>
      <c r="P71" t="s">
        <v>387</v>
      </c>
    </row>
    <row r="72" spans="2:20" x14ac:dyDescent="0.2">
      <c r="B72" t="s">
        <v>374</v>
      </c>
      <c r="C72" s="111" t="s">
        <v>22</v>
      </c>
      <c r="D72" t="s">
        <v>162</v>
      </c>
      <c r="G72" s="397">
        <f t="shared" si="6"/>
        <v>4.3575000000000008</v>
      </c>
      <c r="H72" t="str">
        <f t="shared" si="7"/>
        <v>kgCO2e/m2</v>
      </c>
      <c r="I72" s="267">
        <v>4.1500000000000004</v>
      </c>
      <c r="J72" t="s">
        <v>179</v>
      </c>
      <c r="K72" s="267">
        <v>0.81499999999999995</v>
      </c>
      <c r="L72" t="s">
        <v>150</v>
      </c>
      <c r="M72" s="274">
        <v>1.05</v>
      </c>
      <c r="N72" t="s">
        <v>105</v>
      </c>
      <c r="O72" s="459">
        <v>45383</v>
      </c>
      <c r="P72" s="9" t="s">
        <v>157</v>
      </c>
    </row>
    <row r="73" spans="2:20" x14ac:dyDescent="0.2">
      <c r="B73" t="s">
        <v>374</v>
      </c>
      <c r="C73" s="111" t="s">
        <v>379</v>
      </c>
      <c r="D73" t="s">
        <v>252</v>
      </c>
      <c r="G73" s="397">
        <f t="shared" si="6"/>
        <v>5.2500000000000005E-2</v>
      </c>
      <c r="H73" t="str">
        <f t="shared" si="7"/>
        <v>kgCO2e/kg</v>
      </c>
      <c r="I73" s="267">
        <v>0.05</v>
      </c>
      <c r="J73" t="s">
        <v>150</v>
      </c>
      <c r="M73" s="274">
        <v>1.05</v>
      </c>
      <c r="N73" t="s">
        <v>105</v>
      </c>
      <c r="O73" s="459">
        <v>45383</v>
      </c>
      <c r="P73" s="9" t="s">
        <v>375</v>
      </c>
    </row>
    <row r="74" spans="2:20" ht="15" x14ac:dyDescent="0.25">
      <c r="B74" t="s">
        <v>374</v>
      </c>
      <c r="C74" s="111" t="s">
        <v>373</v>
      </c>
      <c r="D74" t="s">
        <v>162</v>
      </c>
      <c r="G74" s="397">
        <f t="shared" si="6"/>
        <v>0.23071510000000003</v>
      </c>
      <c r="H74" t="str">
        <f t="shared" si="7"/>
        <v>kgCO2e/m2</v>
      </c>
      <c r="I74" s="267">
        <f>K74*(0.95/1000)*100</f>
        <v>0.20974100000000001</v>
      </c>
      <c r="J74" t="s">
        <v>179</v>
      </c>
      <c r="K74" s="267">
        <v>2.2078000000000002</v>
      </c>
      <c r="L74" t="s">
        <v>150</v>
      </c>
      <c r="M74" s="274">
        <v>1.1000000000000001</v>
      </c>
      <c r="N74" t="s">
        <v>757</v>
      </c>
      <c r="O74" s="459">
        <v>45383</v>
      </c>
      <c r="P74" s="9" t="s">
        <v>755</v>
      </c>
      <c r="T74" t="s">
        <v>784</v>
      </c>
    </row>
    <row r="75" spans="2:20" x14ac:dyDescent="0.2">
      <c r="B75" t="s">
        <v>374</v>
      </c>
      <c r="C75" s="111" t="s">
        <v>361</v>
      </c>
      <c r="D75" t="s">
        <v>252</v>
      </c>
      <c r="G75" s="397">
        <f t="shared" si="6"/>
        <v>2.5249999999999999</v>
      </c>
      <c r="H75" t="str">
        <f t="shared" si="7"/>
        <v>kgCO2e/kg</v>
      </c>
      <c r="I75" s="267">
        <v>2.5249999999999999</v>
      </c>
      <c r="J75" t="s">
        <v>150</v>
      </c>
      <c r="M75" s="274">
        <v>1</v>
      </c>
      <c r="N75" t="s">
        <v>764</v>
      </c>
      <c r="O75" s="459">
        <v>45383</v>
      </c>
      <c r="P75" s="9" t="s">
        <v>763</v>
      </c>
      <c r="T75" t="s">
        <v>765</v>
      </c>
    </row>
    <row r="76" spans="2:20" x14ac:dyDescent="0.2">
      <c r="B76" t="s">
        <v>374</v>
      </c>
      <c r="C76" s="10" t="s">
        <v>360</v>
      </c>
      <c r="D76" t="s">
        <v>252</v>
      </c>
      <c r="G76" s="397">
        <f t="shared" si="6"/>
        <v>0.41</v>
      </c>
      <c r="H76" t="str">
        <f t="shared" si="7"/>
        <v>kgCO2e/kg</v>
      </c>
      <c r="I76" s="267">
        <v>0.41</v>
      </c>
      <c r="J76" t="s">
        <v>150</v>
      </c>
      <c r="M76" s="274">
        <v>1</v>
      </c>
      <c r="N76" t="s">
        <v>760</v>
      </c>
      <c r="O76" s="459">
        <v>45383</v>
      </c>
      <c r="P76" s="9" t="s">
        <v>761</v>
      </c>
      <c r="T76" t="s">
        <v>768</v>
      </c>
    </row>
    <row r="77" spans="2:20" x14ac:dyDescent="0.2">
      <c r="B77" t="s">
        <v>374</v>
      </c>
      <c r="C77" s="10" t="s">
        <v>384</v>
      </c>
      <c r="D77" t="s">
        <v>252</v>
      </c>
      <c r="G77" s="397">
        <f t="shared" si="6"/>
        <v>3.6</v>
      </c>
      <c r="H77" t="str">
        <f t="shared" si="7"/>
        <v>kgCO2e/kg</v>
      </c>
      <c r="I77" s="267">
        <v>3.6</v>
      </c>
      <c r="J77" t="s">
        <v>150</v>
      </c>
      <c r="M77" s="274">
        <v>1</v>
      </c>
      <c r="N77" t="s">
        <v>105</v>
      </c>
      <c r="O77" s="459">
        <v>45383</v>
      </c>
      <c r="P77" s="9" t="s">
        <v>157</v>
      </c>
    </row>
    <row r="78" spans="2:20" x14ac:dyDescent="0.2">
      <c r="B78" t="s">
        <v>374</v>
      </c>
      <c r="C78" s="10" t="s">
        <v>369</v>
      </c>
      <c r="D78" t="s">
        <v>252</v>
      </c>
      <c r="G78" s="397">
        <f t="shared" si="6"/>
        <v>2.1</v>
      </c>
      <c r="H78" t="str">
        <f t="shared" si="7"/>
        <v>kgCO2e/kg</v>
      </c>
      <c r="I78" s="267">
        <v>2.1</v>
      </c>
      <c r="J78" t="s">
        <v>150</v>
      </c>
      <c r="M78" s="274">
        <v>1</v>
      </c>
      <c r="N78" t="s">
        <v>767</v>
      </c>
      <c r="O78" s="459">
        <v>45383</v>
      </c>
      <c r="P78" s="9" t="s">
        <v>766</v>
      </c>
      <c r="T78" t="s">
        <v>770</v>
      </c>
    </row>
    <row r="79" spans="2:20" x14ac:dyDescent="0.2">
      <c r="B79" t="s">
        <v>374</v>
      </c>
      <c r="C79" s="10" t="s">
        <v>370</v>
      </c>
      <c r="D79" t="s">
        <v>252</v>
      </c>
      <c r="G79" s="397">
        <f t="shared" si="6"/>
        <v>1.1000000000000001</v>
      </c>
      <c r="H79" t="str">
        <f t="shared" si="7"/>
        <v>kgCO2e/kg</v>
      </c>
      <c r="I79" s="267">
        <v>1.1000000000000001</v>
      </c>
      <c r="J79" t="s">
        <v>150</v>
      </c>
      <c r="M79" s="274">
        <v>1</v>
      </c>
      <c r="N79" t="s">
        <v>767</v>
      </c>
      <c r="O79" s="459">
        <v>45383</v>
      </c>
      <c r="P79" s="9" t="s">
        <v>766</v>
      </c>
      <c r="T79" t="s">
        <v>771</v>
      </c>
    </row>
    <row r="80" spans="2:20" x14ac:dyDescent="0.2">
      <c r="B80" t="s">
        <v>374</v>
      </c>
      <c r="C80" s="10" t="s">
        <v>371</v>
      </c>
      <c r="D80" t="s">
        <v>252</v>
      </c>
      <c r="G80" s="397">
        <f t="shared" si="6"/>
        <v>9.5</v>
      </c>
      <c r="H80" t="str">
        <f t="shared" si="7"/>
        <v>kgCO2e/kg</v>
      </c>
      <c r="I80" s="267">
        <v>9.5</v>
      </c>
      <c r="J80" t="s">
        <v>150</v>
      </c>
      <c r="M80" s="274">
        <v>1</v>
      </c>
      <c r="N80" t="s">
        <v>767</v>
      </c>
      <c r="O80" s="459">
        <v>45383</v>
      </c>
      <c r="P80" s="9" t="s">
        <v>766</v>
      </c>
      <c r="T80" t="s">
        <v>772</v>
      </c>
    </row>
    <row r="81" spans="2:20" x14ac:dyDescent="0.2">
      <c r="B81" t="s">
        <v>374</v>
      </c>
      <c r="C81" s="10" t="s">
        <v>362</v>
      </c>
      <c r="D81" t="s">
        <v>252</v>
      </c>
      <c r="G81" s="397">
        <f t="shared" si="6"/>
        <v>0.36</v>
      </c>
      <c r="H81" t="str">
        <f t="shared" si="7"/>
        <v>kgCO2e/kg</v>
      </c>
      <c r="I81" s="267">
        <v>0.36</v>
      </c>
      <c r="J81" t="s">
        <v>150</v>
      </c>
      <c r="M81" s="274">
        <v>1</v>
      </c>
      <c r="N81" t="s">
        <v>105</v>
      </c>
      <c r="O81" s="459">
        <v>45383</v>
      </c>
      <c r="P81" s="9" t="s">
        <v>157</v>
      </c>
      <c r="Q81" t="s">
        <v>372</v>
      </c>
    </row>
    <row r="82" spans="2:20" x14ac:dyDescent="0.2">
      <c r="B82" t="s">
        <v>374</v>
      </c>
      <c r="C82" s="111" t="s">
        <v>733</v>
      </c>
      <c r="D82" t="s">
        <v>693</v>
      </c>
      <c r="G82" s="397"/>
      <c r="I82" s="267"/>
      <c r="M82" s="274"/>
      <c r="O82" s="458"/>
      <c r="P82" s="9"/>
    </row>
    <row r="83" spans="2:20" x14ac:dyDescent="0.2">
      <c r="B83" t="s">
        <v>374</v>
      </c>
      <c r="C83" s="10"/>
      <c r="G83" s="397"/>
      <c r="I83" s="267"/>
      <c r="M83" s="274"/>
      <c r="O83" s="458"/>
      <c r="P83" s="9"/>
    </row>
    <row r="84" spans="2:20" x14ac:dyDescent="0.2">
      <c r="B84" t="s">
        <v>374</v>
      </c>
      <c r="C84" s="10"/>
      <c r="G84" s="397"/>
      <c r="I84" s="267"/>
      <c r="M84" s="274"/>
      <c r="O84" s="458"/>
      <c r="P84" s="9"/>
    </row>
    <row r="85" spans="2:20" x14ac:dyDescent="0.2">
      <c r="B85" t="s">
        <v>374</v>
      </c>
      <c r="C85" s="10"/>
      <c r="G85" s="397"/>
      <c r="I85" s="267"/>
      <c r="M85" s="274"/>
      <c r="O85" s="458"/>
      <c r="P85" s="9"/>
    </row>
    <row r="86" spans="2:20" x14ac:dyDescent="0.2">
      <c r="O86" s="458"/>
    </row>
    <row r="87" spans="2:20" x14ac:dyDescent="0.2">
      <c r="B87" t="s">
        <v>58</v>
      </c>
      <c r="C87" s="111" t="s">
        <v>359</v>
      </c>
      <c r="D87" t="s">
        <v>285</v>
      </c>
      <c r="G87" s="397">
        <f t="shared" ref="G87:G100" si="8">I87*M87</f>
        <v>8.4</v>
      </c>
      <c r="H87" t="str">
        <f t="shared" ref="H87:H100" si="9">J87</f>
        <v>kgCO2e/m</v>
      </c>
      <c r="I87" s="267">
        <v>8</v>
      </c>
      <c r="J87" t="s">
        <v>367</v>
      </c>
      <c r="K87" s="267">
        <v>2.12</v>
      </c>
      <c r="L87" t="s">
        <v>150</v>
      </c>
      <c r="M87" s="206">
        <v>1.05</v>
      </c>
      <c r="N87" t="s">
        <v>105</v>
      </c>
      <c r="O87" s="459">
        <v>45383</v>
      </c>
      <c r="P87" t="s">
        <v>336</v>
      </c>
    </row>
    <row r="88" spans="2:20" x14ac:dyDescent="0.2">
      <c r="B88" t="s">
        <v>58</v>
      </c>
      <c r="C88" s="111" t="s">
        <v>21</v>
      </c>
      <c r="D88" t="s">
        <v>162</v>
      </c>
      <c r="G88" s="397">
        <f t="shared" si="8"/>
        <v>0.74139999999999995</v>
      </c>
      <c r="H88" t="str">
        <f t="shared" si="9"/>
        <v>kgCO2e/m2</v>
      </c>
      <c r="I88" s="267">
        <f>AVERAGE(0.27,0.44,0.65,0.86,1.15)</f>
        <v>0.67399999999999993</v>
      </c>
      <c r="J88" t="s">
        <v>179</v>
      </c>
      <c r="K88" s="267">
        <f>3.23</f>
        <v>3.23</v>
      </c>
      <c r="L88" t="s">
        <v>150</v>
      </c>
      <c r="M88" s="274">
        <v>1.1000000000000001</v>
      </c>
      <c r="N88" t="s">
        <v>105</v>
      </c>
      <c r="O88" s="459">
        <v>45383</v>
      </c>
      <c r="P88" s="9" t="s">
        <v>336</v>
      </c>
    </row>
    <row r="89" spans="2:20" x14ac:dyDescent="0.2">
      <c r="B89" t="s">
        <v>58</v>
      </c>
      <c r="C89" s="111" t="s">
        <v>363</v>
      </c>
      <c r="D89" t="s">
        <v>252</v>
      </c>
      <c r="G89" s="397">
        <f t="shared" si="8"/>
        <v>4.2000000000000006E-3</v>
      </c>
      <c r="H89" t="str">
        <f t="shared" si="9"/>
        <v>kgCO2e/kg</v>
      </c>
      <c r="I89" s="267">
        <v>4.0000000000000001E-3</v>
      </c>
      <c r="J89" t="s">
        <v>150</v>
      </c>
      <c r="M89" s="274">
        <v>1.05</v>
      </c>
      <c r="N89" t="s">
        <v>105</v>
      </c>
      <c r="O89" s="459">
        <v>45383</v>
      </c>
      <c r="P89" s="9" t="s">
        <v>152</v>
      </c>
    </row>
    <row r="90" spans="2:20" x14ac:dyDescent="0.2">
      <c r="B90" t="s">
        <v>58</v>
      </c>
      <c r="C90" s="111" t="s">
        <v>364</v>
      </c>
      <c r="D90" t="s">
        <v>252</v>
      </c>
      <c r="G90" s="397">
        <f t="shared" si="8"/>
        <v>0</v>
      </c>
      <c r="H90" t="str">
        <f t="shared" si="9"/>
        <v>kgCO2e/kg</v>
      </c>
      <c r="I90" s="267">
        <v>0</v>
      </c>
      <c r="J90" t="s">
        <v>150</v>
      </c>
      <c r="M90" s="274">
        <v>1</v>
      </c>
      <c r="O90" s="459">
        <v>45383</v>
      </c>
      <c r="P90" t="s">
        <v>387</v>
      </c>
    </row>
    <row r="91" spans="2:20" x14ac:dyDescent="0.2">
      <c r="B91" t="s">
        <v>58</v>
      </c>
      <c r="C91" s="111" t="s">
        <v>22</v>
      </c>
      <c r="D91" t="s">
        <v>162</v>
      </c>
      <c r="G91" s="397">
        <f t="shared" si="8"/>
        <v>4.3575000000000008</v>
      </c>
      <c r="H91" t="str">
        <f t="shared" si="9"/>
        <v>kgCO2e/m2</v>
      </c>
      <c r="I91" s="267">
        <v>4.1500000000000004</v>
      </c>
      <c r="J91" t="s">
        <v>179</v>
      </c>
      <c r="K91" s="267">
        <v>0.81499999999999995</v>
      </c>
      <c r="L91" t="s">
        <v>150</v>
      </c>
      <c r="M91" s="274">
        <v>1.05</v>
      </c>
      <c r="N91" t="s">
        <v>105</v>
      </c>
      <c r="O91" s="459">
        <v>45383</v>
      </c>
      <c r="P91" s="9" t="s">
        <v>157</v>
      </c>
    </row>
    <row r="92" spans="2:20" x14ac:dyDescent="0.2">
      <c r="B92" t="s">
        <v>58</v>
      </c>
      <c r="C92" s="111" t="s">
        <v>379</v>
      </c>
      <c r="D92" t="s">
        <v>252</v>
      </c>
      <c r="G92" s="397">
        <f t="shared" si="8"/>
        <v>5.2500000000000005E-2</v>
      </c>
      <c r="H92" t="str">
        <f t="shared" si="9"/>
        <v>kgCO2e/kg</v>
      </c>
      <c r="I92" s="267">
        <v>0.05</v>
      </c>
      <c r="J92" t="s">
        <v>150</v>
      </c>
      <c r="M92" s="274">
        <v>1.05</v>
      </c>
      <c r="N92" t="s">
        <v>105</v>
      </c>
      <c r="O92" s="459">
        <v>45383</v>
      </c>
      <c r="P92" s="9" t="s">
        <v>375</v>
      </c>
    </row>
    <row r="93" spans="2:20" ht="15" x14ac:dyDescent="0.25">
      <c r="B93" t="s">
        <v>58</v>
      </c>
      <c r="C93" s="111" t="s">
        <v>373</v>
      </c>
      <c r="D93" t="s">
        <v>162</v>
      </c>
      <c r="G93" s="397">
        <f t="shared" si="8"/>
        <v>0.23071510000000003</v>
      </c>
      <c r="H93" t="str">
        <f t="shared" si="9"/>
        <v>kgCO2e/m2</v>
      </c>
      <c r="I93" s="267">
        <f>K93*(0.95/1000)*100</f>
        <v>0.20974100000000001</v>
      </c>
      <c r="J93" t="s">
        <v>179</v>
      </c>
      <c r="K93" s="267">
        <v>2.2078000000000002</v>
      </c>
      <c r="L93" t="s">
        <v>150</v>
      </c>
      <c r="M93" s="274">
        <v>1.1000000000000001</v>
      </c>
      <c r="N93" t="s">
        <v>757</v>
      </c>
      <c r="O93" s="459">
        <v>45383</v>
      </c>
      <c r="P93" s="9" t="s">
        <v>755</v>
      </c>
      <c r="T93" t="s">
        <v>784</v>
      </c>
    </row>
    <row r="94" spans="2:20" x14ac:dyDescent="0.2">
      <c r="B94" t="s">
        <v>58</v>
      </c>
      <c r="C94" s="111" t="s">
        <v>377</v>
      </c>
      <c r="D94" t="s">
        <v>284</v>
      </c>
      <c r="G94" s="397">
        <f t="shared" si="8"/>
        <v>0.2</v>
      </c>
      <c r="H94" t="str">
        <f t="shared" si="9"/>
        <v>kgCO2e/kpl</v>
      </c>
      <c r="I94" s="267">
        <v>0.2</v>
      </c>
      <c r="J94" t="s">
        <v>383</v>
      </c>
      <c r="M94" s="274">
        <v>1</v>
      </c>
      <c r="N94" t="s">
        <v>105</v>
      </c>
      <c r="O94" s="459">
        <v>45383</v>
      </c>
      <c r="P94" s="9" t="s">
        <v>157</v>
      </c>
    </row>
    <row r="95" spans="2:20" x14ac:dyDescent="0.2">
      <c r="B95" t="s">
        <v>58</v>
      </c>
      <c r="C95" s="10" t="s">
        <v>376</v>
      </c>
      <c r="D95" t="s">
        <v>252</v>
      </c>
      <c r="G95" s="397">
        <f t="shared" si="8"/>
        <v>1.7500000000000002E-2</v>
      </c>
      <c r="H95" t="str">
        <f t="shared" si="9"/>
        <v>kgCO2e/kg</v>
      </c>
      <c r="I95" s="267">
        <v>1.7500000000000002E-2</v>
      </c>
      <c r="J95" t="s">
        <v>150</v>
      </c>
      <c r="M95" s="274">
        <v>1</v>
      </c>
      <c r="N95" t="s">
        <v>105</v>
      </c>
      <c r="O95" s="459">
        <v>45383</v>
      </c>
      <c r="P95" s="9" t="s">
        <v>157</v>
      </c>
      <c r="Q95" t="s">
        <v>382</v>
      </c>
    </row>
    <row r="96" spans="2:20" x14ac:dyDescent="0.2">
      <c r="B96" t="s">
        <v>58</v>
      </c>
      <c r="C96" s="10" t="s">
        <v>384</v>
      </c>
      <c r="D96" t="s">
        <v>252</v>
      </c>
      <c r="G96" s="397">
        <f t="shared" si="8"/>
        <v>3.6</v>
      </c>
      <c r="H96" t="str">
        <f t="shared" si="9"/>
        <v>kgCO2e/kg</v>
      </c>
      <c r="I96" s="267">
        <v>3.6</v>
      </c>
      <c r="J96" t="s">
        <v>150</v>
      </c>
      <c r="M96" s="274">
        <v>1</v>
      </c>
      <c r="N96" t="s">
        <v>105</v>
      </c>
      <c r="O96" s="459">
        <v>45383</v>
      </c>
      <c r="P96" s="9" t="s">
        <v>157</v>
      </c>
    </row>
    <row r="97" spans="2:20" x14ac:dyDescent="0.2">
      <c r="B97" t="s">
        <v>58</v>
      </c>
      <c r="C97" s="10" t="s">
        <v>369</v>
      </c>
      <c r="D97" t="s">
        <v>252</v>
      </c>
      <c r="G97" s="397">
        <f t="shared" si="8"/>
        <v>2.1</v>
      </c>
      <c r="H97" t="str">
        <f t="shared" si="9"/>
        <v>kgCO2e/kg</v>
      </c>
      <c r="I97" s="267">
        <v>2.1</v>
      </c>
      <c r="J97" t="s">
        <v>150</v>
      </c>
      <c r="M97" s="274">
        <v>1</v>
      </c>
      <c r="N97" t="s">
        <v>767</v>
      </c>
      <c r="O97" s="459">
        <v>45383</v>
      </c>
      <c r="P97" s="9" t="s">
        <v>766</v>
      </c>
      <c r="T97" t="s">
        <v>770</v>
      </c>
    </row>
    <row r="98" spans="2:20" x14ac:dyDescent="0.2">
      <c r="B98" t="s">
        <v>58</v>
      </c>
      <c r="C98" s="10" t="s">
        <v>370</v>
      </c>
      <c r="D98" t="s">
        <v>252</v>
      </c>
      <c r="G98" s="397">
        <f t="shared" si="8"/>
        <v>1.1000000000000001</v>
      </c>
      <c r="H98" t="str">
        <f t="shared" si="9"/>
        <v>kgCO2e/kg</v>
      </c>
      <c r="I98" s="267">
        <v>1.1000000000000001</v>
      </c>
      <c r="J98" t="s">
        <v>150</v>
      </c>
      <c r="M98" s="274">
        <v>1</v>
      </c>
      <c r="N98" t="s">
        <v>767</v>
      </c>
      <c r="O98" s="459">
        <v>45383</v>
      </c>
      <c r="P98" s="9" t="s">
        <v>766</v>
      </c>
      <c r="T98" t="s">
        <v>771</v>
      </c>
    </row>
    <row r="99" spans="2:20" x14ac:dyDescent="0.2">
      <c r="B99" t="s">
        <v>58</v>
      </c>
      <c r="C99" s="10" t="s">
        <v>371</v>
      </c>
      <c r="D99" t="s">
        <v>252</v>
      </c>
      <c r="G99" s="397">
        <f t="shared" si="8"/>
        <v>9.5</v>
      </c>
      <c r="H99" t="str">
        <f t="shared" si="9"/>
        <v>kgCO2e/kg</v>
      </c>
      <c r="I99" s="267">
        <v>9.5</v>
      </c>
      <c r="J99" t="s">
        <v>150</v>
      </c>
      <c r="M99" s="274">
        <v>1</v>
      </c>
      <c r="N99" t="s">
        <v>767</v>
      </c>
      <c r="O99" s="459">
        <v>45383</v>
      </c>
      <c r="P99" s="9" t="s">
        <v>766</v>
      </c>
      <c r="T99" t="s">
        <v>772</v>
      </c>
    </row>
    <row r="100" spans="2:20" x14ac:dyDescent="0.2">
      <c r="B100" t="s">
        <v>58</v>
      </c>
      <c r="C100" s="10" t="s">
        <v>362</v>
      </c>
      <c r="D100" t="s">
        <v>252</v>
      </c>
      <c r="G100" s="397">
        <f t="shared" si="8"/>
        <v>0.36</v>
      </c>
      <c r="H100" t="str">
        <f t="shared" si="9"/>
        <v>kgCO2e/kg</v>
      </c>
      <c r="I100" s="267">
        <v>0.36</v>
      </c>
      <c r="J100" t="s">
        <v>150</v>
      </c>
      <c r="M100" s="274">
        <v>1</v>
      </c>
      <c r="N100" t="s">
        <v>105</v>
      </c>
      <c r="O100" s="459">
        <v>45383</v>
      </c>
      <c r="P100" s="9" t="s">
        <v>157</v>
      </c>
    </row>
    <row r="101" spans="2:20" x14ac:dyDescent="0.2">
      <c r="B101" t="s">
        <v>58</v>
      </c>
      <c r="C101" s="111" t="s">
        <v>733</v>
      </c>
      <c r="D101" t="s">
        <v>693</v>
      </c>
      <c r="G101" s="397"/>
      <c r="I101" s="267"/>
      <c r="M101" s="274"/>
      <c r="O101" s="458"/>
      <c r="P101" s="9"/>
    </row>
    <row r="102" spans="2:20" x14ac:dyDescent="0.2">
      <c r="B102" t="s">
        <v>58</v>
      </c>
      <c r="C102" s="10"/>
      <c r="G102" s="397"/>
      <c r="I102" s="267"/>
      <c r="M102" s="274"/>
      <c r="O102" s="458"/>
      <c r="P102" s="9"/>
    </row>
    <row r="103" spans="2:20" x14ac:dyDescent="0.2">
      <c r="B103" t="s">
        <v>58</v>
      </c>
      <c r="C103" s="10"/>
      <c r="G103" s="397"/>
      <c r="I103" s="267"/>
      <c r="M103" s="274"/>
      <c r="O103" s="458"/>
      <c r="P103" s="9"/>
    </row>
    <row r="104" spans="2:20" x14ac:dyDescent="0.2">
      <c r="B104" t="s">
        <v>58</v>
      </c>
      <c r="C104" s="10"/>
      <c r="G104" s="397"/>
      <c r="I104" s="267"/>
      <c r="M104" s="274"/>
      <c r="O104" s="458"/>
      <c r="P104" s="9"/>
    </row>
    <row r="105" spans="2:20" x14ac:dyDescent="0.2">
      <c r="O105" s="458"/>
    </row>
    <row r="106" spans="2:20" x14ac:dyDescent="0.2">
      <c r="B106" t="s">
        <v>378</v>
      </c>
      <c r="C106" s="111" t="s">
        <v>359</v>
      </c>
      <c r="D106" t="s">
        <v>285</v>
      </c>
      <c r="G106" s="397">
        <f t="shared" ref="G106:G120" si="10">I106*M106</f>
        <v>8.4</v>
      </c>
      <c r="H106" t="str">
        <f t="shared" ref="H106:H120" si="11">J106</f>
        <v>kgCO2e/m</v>
      </c>
      <c r="I106" s="267">
        <v>8</v>
      </c>
      <c r="J106" t="s">
        <v>367</v>
      </c>
      <c r="K106" s="267">
        <v>2.12</v>
      </c>
      <c r="L106" t="s">
        <v>150</v>
      </c>
      <c r="M106" s="206">
        <v>1.05</v>
      </c>
      <c r="N106" t="s">
        <v>105</v>
      </c>
      <c r="O106" s="459">
        <v>45383</v>
      </c>
      <c r="P106" s="9" t="s">
        <v>336</v>
      </c>
    </row>
    <row r="107" spans="2:20" x14ac:dyDescent="0.2">
      <c r="B107" t="s">
        <v>378</v>
      </c>
      <c r="C107" s="111" t="s">
        <v>21</v>
      </c>
      <c r="D107" t="s">
        <v>162</v>
      </c>
      <c r="G107" s="397">
        <f t="shared" si="10"/>
        <v>0.74139999999999995</v>
      </c>
      <c r="H107" t="str">
        <f t="shared" si="11"/>
        <v>kgCO2e/m2</v>
      </c>
      <c r="I107" s="267">
        <f>AVERAGE(0.27,0.44,0.65,0.86,1.15)</f>
        <v>0.67399999999999993</v>
      </c>
      <c r="J107" t="s">
        <v>179</v>
      </c>
      <c r="K107" s="267">
        <f>3.23</f>
        <v>3.23</v>
      </c>
      <c r="L107" t="s">
        <v>150</v>
      </c>
      <c r="M107" s="274">
        <v>1.1000000000000001</v>
      </c>
      <c r="N107" t="s">
        <v>105</v>
      </c>
      <c r="O107" s="459">
        <v>45383</v>
      </c>
      <c r="P107" s="9" t="s">
        <v>336</v>
      </c>
    </row>
    <row r="108" spans="2:20" x14ac:dyDescent="0.2">
      <c r="B108" t="s">
        <v>378</v>
      </c>
      <c r="C108" s="111" t="s">
        <v>330</v>
      </c>
      <c r="D108" t="s">
        <v>162</v>
      </c>
      <c r="G108" s="397">
        <f t="shared" si="10"/>
        <v>0.44769999999999999</v>
      </c>
      <c r="H108" t="str">
        <f t="shared" si="11"/>
        <v>kgCO2e/m2</v>
      </c>
      <c r="I108" s="267">
        <v>0.40699999999999997</v>
      </c>
      <c r="J108" t="s">
        <v>179</v>
      </c>
      <c r="M108" s="274">
        <v>1.1000000000000001</v>
      </c>
      <c r="O108" s="459">
        <v>45383</v>
      </c>
      <c r="P108" s="9" t="s">
        <v>707</v>
      </c>
    </row>
    <row r="109" spans="2:20" x14ac:dyDescent="0.2">
      <c r="B109" t="s">
        <v>378</v>
      </c>
      <c r="C109" s="111" t="s">
        <v>363</v>
      </c>
      <c r="D109" t="s">
        <v>252</v>
      </c>
      <c r="G109" s="397">
        <f t="shared" si="10"/>
        <v>4.2000000000000006E-3</v>
      </c>
      <c r="H109" t="str">
        <f t="shared" si="11"/>
        <v>kgCO2e/kg</v>
      </c>
      <c r="I109" s="267">
        <v>4.0000000000000001E-3</v>
      </c>
      <c r="J109" t="s">
        <v>150</v>
      </c>
      <c r="M109" s="274">
        <v>1.05</v>
      </c>
      <c r="N109" t="s">
        <v>105</v>
      </c>
      <c r="O109" s="459">
        <v>45383</v>
      </c>
      <c r="P109" s="9" t="s">
        <v>152</v>
      </c>
    </row>
    <row r="110" spans="2:20" x14ac:dyDescent="0.2">
      <c r="B110" t="s">
        <v>378</v>
      </c>
      <c r="C110" s="111" t="s">
        <v>364</v>
      </c>
      <c r="D110" t="s">
        <v>252</v>
      </c>
      <c r="G110" s="397">
        <f t="shared" si="10"/>
        <v>0</v>
      </c>
      <c r="H110" t="str">
        <f t="shared" si="11"/>
        <v>kgCO2e/kg</v>
      </c>
      <c r="I110" s="267">
        <v>0</v>
      </c>
      <c r="J110" t="s">
        <v>150</v>
      </c>
      <c r="M110" s="274">
        <v>1</v>
      </c>
      <c r="O110" s="459">
        <v>45383</v>
      </c>
      <c r="P110" t="s">
        <v>387</v>
      </c>
    </row>
    <row r="111" spans="2:20" x14ac:dyDescent="0.2">
      <c r="B111" t="s">
        <v>378</v>
      </c>
      <c r="C111" s="111" t="s">
        <v>22</v>
      </c>
      <c r="D111" t="s">
        <v>162</v>
      </c>
      <c r="G111" s="397">
        <f t="shared" si="10"/>
        <v>4.3575000000000008</v>
      </c>
      <c r="H111" t="str">
        <f t="shared" si="11"/>
        <v>kgCO2e/m2</v>
      </c>
      <c r="I111" s="267">
        <v>4.1500000000000004</v>
      </c>
      <c r="J111" t="s">
        <v>179</v>
      </c>
      <c r="K111" s="267">
        <v>0.81499999999999995</v>
      </c>
      <c r="L111" t="s">
        <v>150</v>
      </c>
      <c r="M111" s="274">
        <v>1.05</v>
      </c>
      <c r="N111" t="s">
        <v>105</v>
      </c>
      <c r="O111" s="459">
        <v>45383</v>
      </c>
      <c r="P111" s="9" t="s">
        <v>157</v>
      </c>
    </row>
    <row r="112" spans="2:20" x14ac:dyDescent="0.2">
      <c r="B112" t="s">
        <v>378</v>
      </c>
      <c r="C112" s="111" t="s">
        <v>379</v>
      </c>
      <c r="D112" t="s">
        <v>252</v>
      </c>
      <c r="G112" s="397">
        <f t="shared" si="10"/>
        <v>5.2500000000000005E-2</v>
      </c>
      <c r="H112" t="str">
        <f t="shared" si="11"/>
        <v>kgCO2e/kg</v>
      </c>
      <c r="I112" s="267">
        <v>0.05</v>
      </c>
      <c r="J112" t="s">
        <v>150</v>
      </c>
      <c r="M112" s="274">
        <v>1.05</v>
      </c>
      <c r="N112" t="s">
        <v>105</v>
      </c>
      <c r="O112" s="459">
        <v>45383</v>
      </c>
      <c r="P112" s="9" t="s">
        <v>375</v>
      </c>
    </row>
    <row r="113" spans="2:20" ht="15" x14ac:dyDescent="0.25">
      <c r="B113" t="s">
        <v>378</v>
      </c>
      <c r="C113" s="111" t="s">
        <v>373</v>
      </c>
      <c r="D113" t="s">
        <v>162</v>
      </c>
      <c r="G113" s="397">
        <f t="shared" si="10"/>
        <v>0.23071510000000003</v>
      </c>
      <c r="H113" t="str">
        <f t="shared" si="11"/>
        <v>kgCO2e/m2</v>
      </c>
      <c r="I113" s="267">
        <f>K113*(0.95/1000)*100</f>
        <v>0.20974100000000001</v>
      </c>
      <c r="J113" t="s">
        <v>179</v>
      </c>
      <c r="K113" s="267">
        <v>2.2078000000000002</v>
      </c>
      <c r="L113" t="s">
        <v>150</v>
      </c>
      <c r="M113" s="274">
        <v>1.1000000000000001</v>
      </c>
      <c r="N113" t="s">
        <v>757</v>
      </c>
      <c r="O113" s="459">
        <v>45383</v>
      </c>
      <c r="P113" s="9" t="s">
        <v>755</v>
      </c>
      <c r="T113" t="s">
        <v>784</v>
      </c>
    </row>
    <row r="114" spans="2:20" x14ac:dyDescent="0.2">
      <c r="B114" t="s">
        <v>378</v>
      </c>
      <c r="C114" s="111" t="s">
        <v>380</v>
      </c>
      <c r="D114" t="s">
        <v>194</v>
      </c>
      <c r="G114" s="397">
        <f t="shared" si="10"/>
        <v>9.1349999999999998</v>
      </c>
      <c r="H114" t="str">
        <f t="shared" si="11"/>
        <v>kgCO2e/m3</v>
      </c>
      <c r="I114" s="267">
        <v>8.6999999999999993</v>
      </c>
      <c r="J114" t="s">
        <v>381</v>
      </c>
      <c r="K114" s="267">
        <v>1.7000000000000001E-2</v>
      </c>
      <c r="L114" t="s">
        <v>150</v>
      </c>
      <c r="M114" s="274">
        <v>1.05</v>
      </c>
      <c r="N114" t="s">
        <v>105</v>
      </c>
      <c r="O114" s="459">
        <v>45383</v>
      </c>
      <c r="P114" s="9" t="s">
        <v>157</v>
      </c>
    </row>
    <row r="115" spans="2:20" x14ac:dyDescent="0.2">
      <c r="B115" t="s">
        <v>378</v>
      </c>
      <c r="C115" s="10" t="s">
        <v>376</v>
      </c>
      <c r="D115" t="s">
        <v>252</v>
      </c>
      <c r="G115" s="397">
        <f t="shared" si="10"/>
        <v>1.7500000000000002E-2</v>
      </c>
      <c r="H115" t="str">
        <f t="shared" si="11"/>
        <v>kgCO2e/kg</v>
      </c>
      <c r="I115" s="267">
        <v>1.7500000000000002E-2</v>
      </c>
      <c r="J115" t="s">
        <v>150</v>
      </c>
      <c r="M115" s="274">
        <v>1</v>
      </c>
      <c r="N115" t="s">
        <v>105</v>
      </c>
      <c r="O115" s="459">
        <v>45383</v>
      </c>
      <c r="P115" s="9" t="s">
        <v>157</v>
      </c>
      <c r="Q115" t="s">
        <v>382</v>
      </c>
    </row>
    <row r="116" spans="2:20" x14ac:dyDescent="0.2">
      <c r="B116" t="s">
        <v>378</v>
      </c>
      <c r="C116" s="10" t="s">
        <v>384</v>
      </c>
      <c r="D116" t="s">
        <v>252</v>
      </c>
      <c r="G116" s="397">
        <f t="shared" si="10"/>
        <v>3.6</v>
      </c>
      <c r="H116" t="str">
        <f t="shared" si="11"/>
        <v>kgCO2e/kg</v>
      </c>
      <c r="I116" s="267">
        <v>3.6</v>
      </c>
      <c r="J116" t="s">
        <v>150</v>
      </c>
      <c r="M116" s="274">
        <v>1</v>
      </c>
      <c r="N116" t="s">
        <v>105</v>
      </c>
      <c r="O116" s="459">
        <v>45383</v>
      </c>
      <c r="P116" s="9" t="s">
        <v>157</v>
      </c>
    </row>
    <row r="117" spans="2:20" x14ac:dyDescent="0.2">
      <c r="B117" t="s">
        <v>378</v>
      </c>
      <c r="C117" s="10" t="s">
        <v>369</v>
      </c>
      <c r="D117" t="s">
        <v>252</v>
      </c>
      <c r="G117" s="397">
        <f t="shared" si="10"/>
        <v>2.1</v>
      </c>
      <c r="H117" t="str">
        <f t="shared" si="11"/>
        <v>kgCO2e/kg</v>
      </c>
      <c r="I117" s="267">
        <v>2.1</v>
      </c>
      <c r="J117" t="s">
        <v>150</v>
      </c>
      <c r="M117" s="274">
        <v>1</v>
      </c>
      <c r="N117" t="s">
        <v>767</v>
      </c>
      <c r="O117" s="459">
        <v>45383</v>
      </c>
      <c r="P117" s="9" t="s">
        <v>766</v>
      </c>
      <c r="T117" t="s">
        <v>770</v>
      </c>
    </row>
    <row r="118" spans="2:20" x14ac:dyDescent="0.2">
      <c r="B118" t="s">
        <v>378</v>
      </c>
      <c r="C118" s="10" t="s">
        <v>370</v>
      </c>
      <c r="D118" t="s">
        <v>252</v>
      </c>
      <c r="G118" s="397">
        <f t="shared" si="10"/>
        <v>1.1000000000000001</v>
      </c>
      <c r="H118" t="str">
        <f t="shared" si="11"/>
        <v>kgCO2e/kg</v>
      </c>
      <c r="I118" s="267">
        <v>1.1000000000000001</v>
      </c>
      <c r="J118" t="s">
        <v>150</v>
      </c>
      <c r="M118" s="274">
        <v>1</v>
      </c>
      <c r="N118" t="s">
        <v>767</v>
      </c>
      <c r="O118" s="459">
        <v>45383</v>
      </c>
      <c r="P118" s="9" t="s">
        <v>766</v>
      </c>
      <c r="T118" t="s">
        <v>771</v>
      </c>
    </row>
    <row r="119" spans="2:20" x14ac:dyDescent="0.2">
      <c r="B119" t="s">
        <v>378</v>
      </c>
      <c r="C119" s="10" t="s">
        <v>371</v>
      </c>
      <c r="D119" t="s">
        <v>252</v>
      </c>
      <c r="G119" s="397">
        <f t="shared" si="10"/>
        <v>9.5</v>
      </c>
      <c r="H119" t="str">
        <f t="shared" si="11"/>
        <v>kgCO2e/kg</v>
      </c>
      <c r="I119" s="267">
        <v>9.5</v>
      </c>
      <c r="J119" t="s">
        <v>150</v>
      </c>
      <c r="M119" s="274">
        <v>1</v>
      </c>
      <c r="N119" t="s">
        <v>767</v>
      </c>
      <c r="O119" s="459">
        <v>45383</v>
      </c>
      <c r="P119" s="9" t="s">
        <v>766</v>
      </c>
      <c r="T119" t="s">
        <v>772</v>
      </c>
    </row>
    <row r="120" spans="2:20" x14ac:dyDescent="0.2">
      <c r="B120" t="s">
        <v>378</v>
      </c>
      <c r="C120" s="10" t="s">
        <v>362</v>
      </c>
      <c r="D120" t="s">
        <v>252</v>
      </c>
      <c r="G120" s="397">
        <f t="shared" si="10"/>
        <v>0.36</v>
      </c>
      <c r="H120" t="str">
        <f t="shared" si="11"/>
        <v>kgCO2e/kg</v>
      </c>
      <c r="I120" s="267">
        <v>0.36</v>
      </c>
      <c r="J120" t="s">
        <v>150</v>
      </c>
      <c r="M120" s="274">
        <v>1</v>
      </c>
      <c r="N120" t="s">
        <v>105</v>
      </c>
      <c r="O120" s="459">
        <v>45383</v>
      </c>
      <c r="P120" s="9" t="s">
        <v>157</v>
      </c>
    </row>
    <row r="121" spans="2:20" x14ac:dyDescent="0.2">
      <c r="B121" t="s">
        <v>378</v>
      </c>
      <c r="C121" s="111" t="s">
        <v>733</v>
      </c>
      <c r="D121" t="s">
        <v>693</v>
      </c>
      <c r="G121" s="397"/>
      <c r="I121" s="267"/>
      <c r="M121" s="274"/>
      <c r="O121" s="458"/>
      <c r="P121" s="9"/>
    </row>
    <row r="122" spans="2:20" x14ac:dyDescent="0.2">
      <c r="B122" t="s">
        <v>378</v>
      </c>
      <c r="C122" s="10"/>
      <c r="G122" s="397"/>
      <c r="I122" s="267"/>
      <c r="M122" s="274"/>
      <c r="O122" s="458"/>
      <c r="P122" s="9"/>
    </row>
    <row r="123" spans="2:20" x14ac:dyDescent="0.2">
      <c r="B123" t="s">
        <v>378</v>
      </c>
      <c r="C123" s="10"/>
      <c r="G123" s="397"/>
      <c r="I123" s="267"/>
      <c r="M123" s="274"/>
      <c r="O123" s="458"/>
      <c r="P123" s="9"/>
    </row>
    <row r="124" spans="2:20" x14ac:dyDescent="0.2">
      <c r="B124" t="s">
        <v>378</v>
      </c>
      <c r="C124" s="10"/>
      <c r="G124" s="397"/>
      <c r="I124" s="267"/>
      <c r="M124" s="274"/>
      <c r="O124" s="458"/>
      <c r="Q124" s="9"/>
    </row>
    <row r="125" spans="2:20" x14ac:dyDescent="0.2">
      <c r="O125" s="458"/>
    </row>
  </sheetData>
  <phoneticPr fontId="1" type="noConversion"/>
  <hyperlinks>
    <hyperlink ref="P33" r:id="rId1" xr:uid="{33594218-97A1-43C0-BAF4-4A7E3F08EA61}"/>
    <hyperlink ref="P40" r:id="rId2" xr:uid="{0AB41267-DEA7-466C-8423-08178AEE3C86}"/>
    <hyperlink ref="P49" r:id="rId3" xr:uid="{AA810863-0466-485E-B9D2-4AE7AE3D1B76}"/>
    <hyperlink ref="P88" r:id="rId4" xr:uid="{C4912B1F-76A3-46B8-A6E1-72976397CB70}"/>
    <hyperlink ref="P107" r:id="rId5" xr:uid="{1196C163-3CEE-46E8-8CBD-30BEA9745481}"/>
    <hyperlink ref="P108" r:id="rId6" xr:uid="{9DF3644F-3286-40D5-8D45-EDFF148E960D}"/>
    <hyperlink ref="P41" r:id="rId7" xr:uid="{8CF61CFB-1B57-4C70-B10E-5E23AB15D264}"/>
    <hyperlink ref="P20" r:id="rId8" xr:uid="{7CD0C48A-D857-4C3B-A032-69AC31C716A0}"/>
    <hyperlink ref="P22" r:id="rId9" xr:uid="{0452BC6C-4FDE-4928-8C6E-68CA169938C5}"/>
    <hyperlink ref="P34" r:id="rId10" xr:uid="{ED5F1D8F-B2EB-40C4-97B2-CE60A3BD7618}"/>
    <hyperlink ref="P54" r:id="rId11" xr:uid="{BA8A2079-FF68-4B0F-9E85-AC01B8378445}"/>
    <hyperlink ref="P76" r:id="rId12" xr:uid="{A1F47548-8A4D-4C79-88C6-553F5B2DE87A}"/>
    <hyperlink ref="P75" r:id="rId13" xr:uid="{962A50B1-820D-4808-A016-0E93CFC5F15D}"/>
    <hyperlink ref="P117" r:id="rId14" xr:uid="{3D9797AB-3CB1-4046-9A99-B2EBC2ED5574}"/>
    <hyperlink ref="P118:P119" r:id="rId15" display="https://acris.aalto.fi/ws/portalfiles/portal/89596815/1_s2.0_S0301479722019296_main.pdf" xr:uid="{2E56B740-D232-487C-9A97-CBBEBAE9C6A2}"/>
    <hyperlink ref="P97" r:id="rId16" xr:uid="{06D5ADCE-1CC6-41C2-B69A-00629F60AE1C}"/>
    <hyperlink ref="P98:P99" r:id="rId17" display="https://acris.aalto.fi/ws/portalfiles/portal/89596815/1_s2.0_S0301479722019296_main.pdf" xr:uid="{822BB143-1C17-452E-B217-CF71D9F58148}"/>
    <hyperlink ref="P78" r:id="rId18" xr:uid="{F0DC3923-F148-4FFA-9316-C5CC129F9870}"/>
    <hyperlink ref="P79:P80" r:id="rId19" display="https://acris.aalto.fi/ws/portalfiles/portal/89596815/1_s2.0_S0301479722019296_main.pdf" xr:uid="{B53A5D0D-BE40-459A-8967-D8C709729529}"/>
    <hyperlink ref="P59" r:id="rId20" xr:uid="{70B24EA1-2A14-4A8E-A074-8494450C4399}"/>
    <hyperlink ref="P60:P61" r:id="rId21" display="https://acris.aalto.fi/ws/portalfiles/portal/89596815/1_s2.0_S0301479722019296_main.pdf" xr:uid="{887308D0-D6CA-465F-B71A-18194086430D}"/>
    <hyperlink ref="P56" r:id="rId22" xr:uid="{6B880B88-6D45-4948-968B-E4F3A4C435FD}"/>
    <hyperlink ref="P57" r:id="rId23" xr:uid="{4BAF3B5A-5CA6-4922-9AF7-981E14F3A66E}"/>
    <hyperlink ref="P55" r:id="rId24" xr:uid="{F95DF384-898A-4D4B-8E6D-744DF8BB9470}"/>
    <hyperlink ref="P106" r:id="rId25" xr:uid="{6FB34BAD-DCFB-4594-A977-EEE5CFE7BB6E}"/>
    <hyperlink ref="P68" r:id="rId26" xr:uid="{E0272B2E-6B78-490C-B02A-5A1179FF1029}"/>
    <hyperlink ref="P69" r:id="rId27" xr:uid="{49D1DE8C-B40C-4D2C-B583-58534ACC846C}"/>
    <hyperlink ref="P48" r:id="rId28" xr:uid="{FCC34C19-F957-4C77-B637-A2D9336D6563}"/>
    <hyperlink ref="P36" r:id="rId29" xr:uid="{545C60D1-8918-47A9-B549-A0E8AF91BF1D}"/>
    <hyperlink ref="P42" r:id="rId30" xr:uid="{EFC2D3C2-D9EA-48D4-BEC7-28AA5415EE6C}"/>
    <hyperlink ref="P53" r:id="rId31" xr:uid="{A98632D0-47A1-4045-BD15-9A6C6B5C1E39}"/>
    <hyperlink ref="P74" r:id="rId32" xr:uid="{F3606AA3-9B4B-4211-AA3F-FEEF65A2D9DF}"/>
    <hyperlink ref="P93" r:id="rId33" xr:uid="{014A301C-90C2-49DC-88C9-8800AE59C838}"/>
    <hyperlink ref="P113" r:id="rId34" xr:uid="{398C33EB-58BC-4956-A7C4-709BEE507B10}"/>
  </hyperlinks>
  <pageMargins left="0.70866141732283472" right="0.70866141732283472" top="0.74803149606299213" bottom="0.74803149606299213" header="0.31496062992125984" footer="0.31496062992125984"/>
  <pageSetup paperSize="8" scale="60" orientation="landscape" verticalDpi="0" r:id="rId35"/>
  <headerFooter>
    <oddHeader>&amp;L&amp;"-,Lihavoitu"&amp;12PIIP-laskentatyökalu&amp;RKertoimet: Materiaalit
Sivu &amp;P/&amp;N</oddHeader>
    <oddFooter>&amp;L&amp;G&amp;R&amp;G</oddFooter>
  </headerFooter>
  <legacyDrawingHF r:id="rId3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F8D52-E23E-45FE-8A4D-772E93F189C7}">
  <sheetPr codeName="Sheet11">
    <tabColor theme="8" tint="0.79998168889431442"/>
  </sheetPr>
  <dimension ref="A1:BA110"/>
  <sheetViews>
    <sheetView workbookViewId="0">
      <pane xSplit="3" ySplit="4" topLeftCell="D5" activePane="bottomRight" state="frozen"/>
      <selection pane="topRight" activeCell="D1" sqref="D1"/>
      <selection pane="bottomLeft" activeCell="A5" sqref="A5"/>
      <selection pane="bottomRight" activeCell="E97" sqref="E97"/>
    </sheetView>
  </sheetViews>
  <sheetFormatPr defaultColWidth="8.75" defaultRowHeight="15" x14ac:dyDescent="0.2"/>
  <cols>
    <col min="1" max="1" width="2.75" style="112" customWidth="1"/>
    <col min="2" max="2" width="31.375" style="112" customWidth="1"/>
    <col min="3" max="3" width="55.25" style="112" bestFit="1" customWidth="1"/>
    <col min="4" max="4" width="13.875" style="112" bestFit="1" customWidth="1"/>
    <col min="5" max="5" width="14.5" style="112" customWidth="1"/>
    <col min="6" max="6" width="12" style="112" bestFit="1" customWidth="1"/>
    <col min="7" max="7" width="6.75" style="112" customWidth="1"/>
    <col min="8" max="8" width="12.125" style="112" bestFit="1" customWidth="1"/>
    <col min="9" max="9" width="17.875" style="112" bestFit="1" customWidth="1"/>
    <col min="10" max="10" width="7.375" style="112" bestFit="1" customWidth="1"/>
    <col min="11" max="11" width="6.75" style="112" bestFit="1" customWidth="1"/>
    <col min="12" max="12" width="11.5" style="112" bestFit="1" customWidth="1"/>
    <col min="13" max="13" width="6.75" style="112" bestFit="1" customWidth="1"/>
    <col min="14" max="14" width="15.875" style="112" bestFit="1" customWidth="1"/>
    <col min="15" max="15" width="71.875" style="112" customWidth="1"/>
    <col min="16" max="16" width="12.125" style="453" customWidth="1"/>
    <col min="17" max="17" width="54.75" style="112" customWidth="1"/>
    <col min="18" max="18" width="9.125" style="112" customWidth="1"/>
    <col min="19" max="19" width="10" style="112" customWidth="1"/>
    <col min="20" max="20" width="12.125" style="112" customWidth="1"/>
    <col min="21" max="21" width="10" style="112" customWidth="1"/>
    <col min="22" max="22" width="12.125" style="112" customWidth="1"/>
    <col min="23" max="23" width="10" style="112" customWidth="1"/>
    <col min="24" max="16384" width="8.75" style="112"/>
  </cols>
  <sheetData>
    <row r="1" spans="1:53" s="33" customFormat="1" x14ac:dyDescent="0.2">
      <c r="A1" s="30"/>
      <c r="B1" s="30"/>
      <c r="D1" s="81"/>
      <c r="E1" s="30"/>
      <c r="F1" s="30"/>
      <c r="H1" s="81"/>
      <c r="I1" s="30"/>
      <c r="J1" s="32"/>
      <c r="P1" s="450"/>
      <c r="Q1" s="81"/>
    </row>
    <row r="2" spans="1:53" s="26" customFormat="1" ht="30" x14ac:dyDescent="0.2">
      <c r="A2" s="24"/>
      <c r="B2" s="7" t="s">
        <v>560</v>
      </c>
      <c r="D2" s="82"/>
      <c r="E2" s="24"/>
      <c r="F2" s="24"/>
      <c r="H2" s="82"/>
      <c r="I2" s="24"/>
      <c r="J2" s="25"/>
      <c r="P2" s="451"/>
      <c r="Q2" s="82"/>
    </row>
    <row r="3" spans="1:53" s="33" customFormat="1" x14ac:dyDescent="0.2">
      <c r="A3" s="30"/>
      <c r="B3" s="30"/>
      <c r="D3" s="81"/>
      <c r="E3" s="30"/>
      <c r="F3" s="30"/>
      <c r="H3" s="81"/>
      <c r="I3" s="30"/>
      <c r="J3" s="32"/>
      <c r="P3" s="450"/>
      <c r="Q3" s="81"/>
    </row>
    <row r="4" spans="1:53" s="409" customFormat="1" ht="37.5" customHeight="1" x14ac:dyDescent="0.25">
      <c r="B4" s="409" t="s">
        <v>709</v>
      </c>
      <c r="C4" s="410" t="s">
        <v>719</v>
      </c>
      <c r="D4" s="410"/>
      <c r="E4" s="409" t="s">
        <v>171</v>
      </c>
      <c r="F4" s="410" t="s">
        <v>287</v>
      </c>
      <c r="G4" s="4"/>
      <c r="H4" s="409" t="s">
        <v>713</v>
      </c>
      <c r="I4" s="409" t="s">
        <v>710</v>
      </c>
      <c r="J4" s="412"/>
      <c r="L4" s="413"/>
      <c r="M4" s="414"/>
      <c r="N4" s="414"/>
      <c r="O4" s="414"/>
      <c r="P4" s="452" t="s">
        <v>716</v>
      </c>
      <c r="R4" s="414"/>
      <c r="S4" s="414"/>
      <c r="T4" s="414"/>
      <c r="U4" s="414"/>
      <c r="V4" s="414"/>
      <c r="W4" s="414"/>
      <c r="X4" s="414"/>
      <c r="Y4" s="414"/>
      <c r="Z4" s="414"/>
      <c r="AA4" s="414"/>
      <c r="AB4" s="414"/>
      <c r="AC4" s="414"/>
      <c r="AD4" s="414"/>
      <c r="AE4" s="414"/>
      <c r="AF4" s="414"/>
      <c r="AG4" s="414"/>
      <c r="AH4" s="414"/>
      <c r="AI4" s="414"/>
      <c r="AJ4" s="413"/>
      <c r="AK4" s="413"/>
      <c r="AL4" s="413"/>
      <c r="AM4" s="413"/>
      <c r="AN4" s="413"/>
      <c r="AO4" s="413"/>
      <c r="AP4" s="413"/>
      <c r="AQ4" s="413"/>
      <c r="AR4" s="413"/>
      <c r="AS4" s="413"/>
      <c r="AT4" s="413"/>
      <c r="AU4" s="413"/>
      <c r="AV4" s="413"/>
      <c r="AW4" s="413"/>
      <c r="AX4" s="413"/>
      <c r="AY4" s="413"/>
      <c r="AZ4" s="413"/>
      <c r="BA4" s="413"/>
    </row>
    <row r="5" spans="1:53" x14ac:dyDescent="0.2">
      <c r="B5" s="112" t="s">
        <v>17</v>
      </c>
      <c r="C5" s="113" t="s">
        <v>120</v>
      </c>
      <c r="D5" s="114"/>
      <c r="E5" s="115">
        <v>13.05</v>
      </c>
      <c r="F5" s="112" t="s">
        <v>130</v>
      </c>
      <c r="H5" s="112" t="s">
        <v>105</v>
      </c>
      <c r="I5" s="116" t="s">
        <v>138</v>
      </c>
      <c r="P5" s="455">
        <v>45383</v>
      </c>
    </row>
    <row r="6" spans="1:53" x14ac:dyDescent="0.2">
      <c r="B6" s="112" t="s">
        <v>17</v>
      </c>
      <c r="C6" s="113" t="s">
        <v>121</v>
      </c>
      <c r="D6" s="114"/>
      <c r="E6" s="115">
        <v>17.87</v>
      </c>
      <c r="F6" s="112" t="s">
        <v>130</v>
      </c>
      <c r="H6" s="112" t="s">
        <v>105</v>
      </c>
      <c r="I6" s="116" t="s">
        <v>138</v>
      </c>
      <c r="P6" s="455">
        <v>45383</v>
      </c>
    </row>
    <row r="7" spans="1:53" x14ac:dyDescent="0.2">
      <c r="B7" s="112" t="s">
        <v>17</v>
      </c>
      <c r="C7" s="113" t="s">
        <v>122</v>
      </c>
      <c r="D7" s="114"/>
      <c r="E7" s="115">
        <v>22.79</v>
      </c>
      <c r="F7" s="112" t="s">
        <v>130</v>
      </c>
      <c r="H7" s="112" t="s">
        <v>105</v>
      </c>
      <c r="I7" s="116" t="s">
        <v>138</v>
      </c>
      <c r="P7" s="455">
        <v>45383</v>
      </c>
    </row>
    <row r="8" spans="1:53" x14ac:dyDescent="0.2">
      <c r="B8" s="112" t="s">
        <v>17</v>
      </c>
      <c r="C8" s="113" t="s">
        <v>123</v>
      </c>
      <c r="D8" s="114"/>
      <c r="E8" s="115">
        <v>27.61</v>
      </c>
      <c r="F8" s="112" t="s">
        <v>130</v>
      </c>
      <c r="H8" s="112" t="s">
        <v>105</v>
      </c>
      <c r="I8" s="116" t="s">
        <v>138</v>
      </c>
      <c r="P8" s="455">
        <v>45383</v>
      </c>
    </row>
    <row r="9" spans="1:53" x14ac:dyDescent="0.2">
      <c r="B9" s="112" t="s">
        <v>17</v>
      </c>
      <c r="C9" s="113" t="s">
        <v>124</v>
      </c>
      <c r="D9" s="114"/>
      <c r="E9" s="115">
        <v>34.130000000000003</v>
      </c>
      <c r="F9" s="112" t="s">
        <v>130</v>
      </c>
      <c r="H9" s="112" t="s">
        <v>105</v>
      </c>
      <c r="I9" s="116" t="s">
        <v>138</v>
      </c>
      <c r="P9" s="455">
        <v>45383</v>
      </c>
    </row>
    <row r="10" spans="1:53" x14ac:dyDescent="0.2">
      <c r="B10" s="112" t="s">
        <v>17</v>
      </c>
      <c r="C10" s="113" t="s">
        <v>125</v>
      </c>
      <c r="D10" s="114"/>
      <c r="E10" s="115">
        <v>40.659999999999997</v>
      </c>
      <c r="F10" s="112" t="s">
        <v>130</v>
      </c>
      <c r="H10" s="112" t="s">
        <v>105</v>
      </c>
      <c r="I10" s="116" t="s">
        <v>138</v>
      </c>
      <c r="P10" s="455">
        <v>45383</v>
      </c>
    </row>
    <row r="11" spans="1:53" x14ac:dyDescent="0.2">
      <c r="B11" s="112" t="s">
        <v>17</v>
      </c>
      <c r="C11" s="113" t="s">
        <v>126</v>
      </c>
      <c r="D11" s="114"/>
      <c r="E11" s="115">
        <v>48.79</v>
      </c>
      <c r="F11" s="112" t="s">
        <v>130</v>
      </c>
      <c r="H11" s="112" t="s">
        <v>105</v>
      </c>
      <c r="I11" s="116" t="s">
        <v>138</v>
      </c>
      <c r="P11" s="455">
        <v>45383</v>
      </c>
    </row>
    <row r="12" spans="1:53" x14ac:dyDescent="0.2">
      <c r="B12" s="112" t="s">
        <v>17</v>
      </c>
      <c r="C12" s="113" t="s">
        <v>127</v>
      </c>
      <c r="D12" s="114"/>
      <c r="E12" s="115">
        <v>56.92</v>
      </c>
      <c r="F12" s="112" t="s">
        <v>130</v>
      </c>
      <c r="H12" s="112" t="s">
        <v>105</v>
      </c>
      <c r="I12" s="116" t="s">
        <v>138</v>
      </c>
      <c r="P12" s="455">
        <v>45383</v>
      </c>
    </row>
    <row r="13" spans="1:53" x14ac:dyDescent="0.2">
      <c r="B13" s="112" t="s">
        <v>17</v>
      </c>
      <c r="C13" s="113" t="s">
        <v>128</v>
      </c>
      <c r="D13" s="114"/>
      <c r="E13" s="115">
        <v>73.180000000000007</v>
      </c>
      <c r="F13" s="112" t="s">
        <v>130</v>
      </c>
      <c r="H13" s="112" t="s">
        <v>105</v>
      </c>
      <c r="I13" s="116" t="s">
        <v>138</v>
      </c>
      <c r="P13" s="455">
        <v>45383</v>
      </c>
    </row>
    <row r="14" spans="1:53" x14ac:dyDescent="0.2">
      <c r="B14" s="112" t="s">
        <v>17</v>
      </c>
      <c r="C14" s="113" t="s">
        <v>129</v>
      </c>
      <c r="D14" s="114"/>
      <c r="E14" s="115">
        <v>89.34</v>
      </c>
      <c r="F14" s="112" t="s">
        <v>130</v>
      </c>
      <c r="H14" s="112" t="s">
        <v>105</v>
      </c>
      <c r="I14" s="116" t="s">
        <v>138</v>
      </c>
      <c r="P14" s="455">
        <v>45383</v>
      </c>
    </row>
    <row r="15" spans="1:53" x14ac:dyDescent="0.2">
      <c r="B15" s="112" t="s">
        <v>17</v>
      </c>
      <c r="C15" s="113" t="s">
        <v>131</v>
      </c>
      <c r="D15" s="114"/>
      <c r="E15" s="115">
        <v>10.3</v>
      </c>
      <c r="F15" s="112" t="s">
        <v>130</v>
      </c>
      <c r="H15" s="112" t="s">
        <v>105</v>
      </c>
      <c r="I15" s="116" t="s">
        <v>138</v>
      </c>
      <c r="P15" s="455">
        <v>45383</v>
      </c>
    </row>
    <row r="16" spans="1:53" x14ac:dyDescent="0.2">
      <c r="B16" s="112" t="s">
        <v>17</v>
      </c>
      <c r="C16" s="113" t="s">
        <v>132</v>
      </c>
      <c r="D16" s="114"/>
      <c r="E16" s="115">
        <v>39.4</v>
      </c>
      <c r="F16" s="112" t="s">
        <v>130</v>
      </c>
      <c r="H16" s="112" t="s">
        <v>105</v>
      </c>
      <c r="I16" s="116" t="s">
        <v>138</v>
      </c>
      <c r="P16" s="455">
        <v>45383</v>
      </c>
    </row>
    <row r="17" spans="2:16" x14ac:dyDescent="0.2">
      <c r="B17" s="112" t="s">
        <v>17</v>
      </c>
      <c r="C17" s="113" t="s">
        <v>133</v>
      </c>
      <c r="D17" s="114"/>
      <c r="E17" s="115">
        <v>61.7</v>
      </c>
      <c r="F17" s="112" t="s">
        <v>130</v>
      </c>
      <c r="H17" s="112" t="s">
        <v>105</v>
      </c>
      <c r="I17" s="116" t="s">
        <v>138</v>
      </c>
      <c r="P17" s="455">
        <v>45383</v>
      </c>
    </row>
    <row r="18" spans="2:16" x14ac:dyDescent="0.2">
      <c r="B18" s="112" t="s">
        <v>17</v>
      </c>
      <c r="C18" s="113" t="s">
        <v>134</v>
      </c>
      <c r="D18" s="114"/>
      <c r="E18" s="115">
        <v>20.6</v>
      </c>
      <c r="F18" s="112" t="s">
        <v>130</v>
      </c>
      <c r="H18" s="112" t="s">
        <v>105</v>
      </c>
      <c r="I18" s="116" t="s">
        <v>138</v>
      </c>
      <c r="P18" s="455">
        <v>45383</v>
      </c>
    </row>
    <row r="19" spans="2:16" x14ac:dyDescent="0.2">
      <c r="B19" s="112" t="s">
        <v>17</v>
      </c>
      <c r="C19" s="113" t="s">
        <v>136</v>
      </c>
      <c r="E19" s="115">
        <v>25.8</v>
      </c>
      <c r="F19" s="112" t="s">
        <v>130</v>
      </c>
      <c r="H19" s="112" t="s">
        <v>105</v>
      </c>
      <c r="I19" s="116" t="s">
        <v>138</v>
      </c>
      <c r="P19" s="455">
        <v>45383</v>
      </c>
    </row>
    <row r="20" spans="2:16" x14ac:dyDescent="0.2">
      <c r="B20" s="112" t="s">
        <v>17</v>
      </c>
      <c r="C20" s="113" t="s">
        <v>18</v>
      </c>
      <c r="E20" s="115">
        <v>18.100000000000001</v>
      </c>
      <c r="F20" s="112" t="s">
        <v>130</v>
      </c>
      <c r="H20" s="112" t="s">
        <v>105</v>
      </c>
      <c r="I20" s="116" t="s">
        <v>138</v>
      </c>
      <c r="P20" s="455">
        <v>45383</v>
      </c>
    </row>
    <row r="21" spans="2:16" x14ac:dyDescent="0.2">
      <c r="B21" s="112" t="s">
        <v>17</v>
      </c>
      <c r="C21" s="113" t="s">
        <v>20</v>
      </c>
      <c r="E21" s="115">
        <v>18.100000000000001</v>
      </c>
      <c r="F21" s="112" t="s">
        <v>130</v>
      </c>
      <c r="H21" s="112" t="s">
        <v>105</v>
      </c>
      <c r="I21" s="116" t="s">
        <v>138</v>
      </c>
      <c r="P21" s="455">
        <v>45383</v>
      </c>
    </row>
    <row r="22" spans="2:16" x14ac:dyDescent="0.2">
      <c r="B22" s="112" t="s">
        <v>17</v>
      </c>
      <c r="C22" s="113" t="s">
        <v>19</v>
      </c>
      <c r="E22" s="115">
        <v>18.100000000000001</v>
      </c>
      <c r="F22" s="112" t="s">
        <v>130</v>
      </c>
      <c r="H22" s="112" t="s">
        <v>105</v>
      </c>
      <c r="I22" s="116" t="s">
        <v>138</v>
      </c>
      <c r="P22" s="455">
        <v>45383</v>
      </c>
    </row>
    <row r="23" spans="2:16" x14ac:dyDescent="0.2">
      <c r="B23" s="112" t="s">
        <v>17</v>
      </c>
      <c r="C23" s="113" t="s">
        <v>12</v>
      </c>
      <c r="E23" s="115">
        <v>3.7</v>
      </c>
      <c r="F23" s="112" t="s">
        <v>130</v>
      </c>
      <c r="H23" s="112" t="s">
        <v>105</v>
      </c>
      <c r="I23" s="116" t="s">
        <v>138</v>
      </c>
      <c r="P23" s="455">
        <v>45383</v>
      </c>
    </row>
    <row r="24" spans="2:16" x14ac:dyDescent="0.2">
      <c r="B24" s="112" t="s">
        <v>17</v>
      </c>
      <c r="C24" s="113" t="s">
        <v>137</v>
      </c>
      <c r="E24" s="115">
        <v>44.5</v>
      </c>
      <c r="F24" s="112" t="s">
        <v>130</v>
      </c>
      <c r="H24" s="112" t="s">
        <v>105</v>
      </c>
      <c r="I24" s="116" t="s">
        <v>138</v>
      </c>
      <c r="P24" s="455">
        <v>45383</v>
      </c>
    </row>
    <row r="25" spans="2:16" x14ac:dyDescent="0.2">
      <c r="B25" s="112" t="s">
        <v>17</v>
      </c>
      <c r="C25" s="113" t="s">
        <v>135</v>
      </c>
      <c r="E25" s="115">
        <v>13.6</v>
      </c>
      <c r="F25" s="112" t="s">
        <v>130</v>
      </c>
      <c r="H25" s="112" t="s">
        <v>105</v>
      </c>
      <c r="I25" s="116" t="s">
        <v>138</v>
      </c>
      <c r="P25" s="455">
        <v>45383</v>
      </c>
    </row>
    <row r="26" spans="2:16" x14ac:dyDescent="0.2">
      <c r="B26" s="112" t="s">
        <v>17</v>
      </c>
      <c r="C26" s="113" t="s">
        <v>141</v>
      </c>
      <c r="E26" s="115">
        <v>29.88</v>
      </c>
      <c r="F26" s="112" t="s">
        <v>130</v>
      </c>
      <c r="H26" s="112" t="s">
        <v>105</v>
      </c>
      <c r="I26" s="116" t="s">
        <v>138</v>
      </c>
      <c r="P26" s="455">
        <v>45383</v>
      </c>
    </row>
    <row r="27" spans="2:16" x14ac:dyDescent="0.2">
      <c r="B27" s="112" t="s">
        <v>17</v>
      </c>
      <c r="C27" s="113" t="s">
        <v>139</v>
      </c>
      <c r="E27" s="115">
        <v>20.61</v>
      </c>
      <c r="F27" s="112" t="s">
        <v>130</v>
      </c>
      <c r="H27" s="112" t="s">
        <v>105</v>
      </c>
      <c r="I27" s="116" t="s">
        <v>138</v>
      </c>
      <c r="P27" s="455">
        <v>45383</v>
      </c>
    </row>
    <row r="28" spans="2:16" x14ac:dyDescent="0.2">
      <c r="B28" s="112" t="s">
        <v>17</v>
      </c>
      <c r="C28" s="113" t="s">
        <v>140</v>
      </c>
      <c r="E28" s="115">
        <v>42.53</v>
      </c>
      <c r="F28" s="112" t="s">
        <v>130</v>
      </c>
      <c r="H28" s="112" t="s">
        <v>105</v>
      </c>
      <c r="I28" s="116" t="s">
        <v>138</v>
      </c>
      <c r="P28" s="455">
        <v>45383</v>
      </c>
    </row>
    <row r="29" spans="2:16" x14ac:dyDescent="0.2">
      <c r="B29" s="112" t="s">
        <v>17</v>
      </c>
      <c r="C29" s="113" t="s">
        <v>142</v>
      </c>
      <c r="E29" s="115">
        <v>45.3</v>
      </c>
      <c r="F29" s="112" t="s">
        <v>130</v>
      </c>
      <c r="H29" s="112" t="s">
        <v>105</v>
      </c>
      <c r="I29" s="116" t="s">
        <v>138</v>
      </c>
      <c r="P29" s="455">
        <v>45383</v>
      </c>
    </row>
    <row r="30" spans="2:16" x14ac:dyDescent="0.2">
      <c r="B30" s="112" t="s">
        <v>17</v>
      </c>
      <c r="C30" s="113" t="s">
        <v>143</v>
      </c>
      <c r="E30" s="115">
        <v>86.3</v>
      </c>
      <c r="F30" s="112" t="s">
        <v>130</v>
      </c>
      <c r="H30" s="112" t="s">
        <v>105</v>
      </c>
      <c r="I30" s="116" t="s">
        <v>138</v>
      </c>
      <c r="P30" s="455">
        <v>45383</v>
      </c>
    </row>
    <row r="31" spans="2:16" x14ac:dyDescent="0.2">
      <c r="B31" s="112" t="s">
        <v>17</v>
      </c>
      <c r="C31" s="113" t="s">
        <v>144</v>
      </c>
      <c r="E31" s="115">
        <v>8.5</v>
      </c>
      <c r="F31" s="112" t="s">
        <v>130</v>
      </c>
      <c r="H31" s="112" t="s">
        <v>105</v>
      </c>
      <c r="I31" s="116" t="s">
        <v>138</v>
      </c>
      <c r="P31" s="455">
        <v>45383</v>
      </c>
    </row>
    <row r="32" spans="2:16" x14ac:dyDescent="0.2">
      <c r="B32" s="112" t="s">
        <v>17</v>
      </c>
      <c r="C32" s="113" t="s">
        <v>145</v>
      </c>
      <c r="E32" s="115">
        <v>34.1</v>
      </c>
      <c r="F32" s="112" t="s">
        <v>130</v>
      </c>
      <c r="H32" s="112" t="s">
        <v>105</v>
      </c>
      <c r="I32" s="116" t="s">
        <v>138</v>
      </c>
      <c r="P32" s="455">
        <v>45383</v>
      </c>
    </row>
    <row r="33" spans="2:53" x14ac:dyDescent="0.2">
      <c r="B33" s="112" t="s">
        <v>17</v>
      </c>
      <c r="C33" s="113" t="s">
        <v>196</v>
      </c>
      <c r="E33" s="117">
        <v>1</v>
      </c>
      <c r="F33" s="112" t="s">
        <v>792</v>
      </c>
      <c r="H33" s="112" t="s">
        <v>197</v>
      </c>
      <c r="I33" s="116"/>
      <c r="P33" s="455">
        <v>45383</v>
      </c>
    </row>
    <row r="34" spans="2:53" x14ac:dyDescent="0.2">
      <c r="B34" s="112" t="s">
        <v>17</v>
      </c>
      <c r="C34" s="113" t="s">
        <v>196</v>
      </c>
      <c r="E34" s="118">
        <v>20</v>
      </c>
      <c r="F34" s="112" t="s">
        <v>193</v>
      </c>
      <c r="P34" s="455">
        <v>45383</v>
      </c>
      <c r="V34" s="116"/>
    </row>
    <row r="35" spans="2:53" x14ac:dyDescent="0.2">
      <c r="B35" s="112" t="s">
        <v>17</v>
      </c>
      <c r="C35" s="113"/>
      <c r="E35" s="115"/>
      <c r="V35" s="116"/>
    </row>
    <row r="36" spans="2:53" x14ac:dyDescent="0.2">
      <c r="B36" s="112" t="s">
        <v>17</v>
      </c>
      <c r="C36" s="113"/>
      <c r="E36" s="115"/>
      <c r="V36" s="116"/>
    </row>
    <row r="37" spans="2:53" x14ac:dyDescent="0.2">
      <c r="B37" s="112" t="s">
        <v>17</v>
      </c>
      <c r="C37" s="113"/>
      <c r="E37" s="115"/>
      <c r="V37" s="116"/>
    </row>
    <row r="38" spans="2:53" x14ac:dyDescent="0.2">
      <c r="B38" s="112" t="s">
        <v>17</v>
      </c>
      <c r="C38" s="113"/>
      <c r="E38" s="115"/>
      <c r="V38" s="116"/>
    </row>
    <row r="39" spans="2:53" x14ac:dyDescent="0.2">
      <c r="B39" s="112" t="s">
        <v>17</v>
      </c>
      <c r="C39" s="113"/>
      <c r="E39" s="115"/>
      <c r="V39" s="116"/>
    </row>
    <row r="40" spans="2:53" x14ac:dyDescent="0.2">
      <c r="B40" s="112" t="s">
        <v>17</v>
      </c>
      <c r="C40" s="113"/>
      <c r="E40" s="115"/>
      <c r="V40" s="116"/>
    </row>
    <row r="41" spans="2:53" x14ac:dyDescent="0.2">
      <c r="B41" s="112" t="s">
        <v>17</v>
      </c>
      <c r="C41" s="113"/>
      <c r="E41" s="115"/>
      <c r="V41" s="116"/>
    </row>
    <row r="42" spans="2:53" x14ac:dyDescent="0.2">
      <c r="B42" s="112" t="s">
        <v>17</v>
      </c>
      <c r="C42" s="113"/>
      <c r="E42" s="115"/>
      <c r="V42" s="116"/>
    </row>
    <row r="43" spans="2:53" x14ac:dyDescent="0.2">
      <c r="P43" s="112"/>
    </row>
    <row r="44" spans="2:53" s="409" customFormat="1" ht="14.25" customHeight="1" x14ac:dyDescent="0.25">
      <c r="C44" s="410"/>
      <c r="D44" s="410"/>
      <c r="F44" s="4"/>
      <c r="G44" s="4"/>
      <c r="J44" s="412"/>
      <c r="L44" s="413"/>
      <c r="M44" s="414"/>
      <c r="N44" s="414"/>
      <c r="O44" s="414"/>
      <c r="P44" s="454"/>
      <c r="Q44" s="409" t="s">
        <v>743</v>
      </c>
      <c r="R44" s="414"/>
      <c r="S44" s="414"/>
      <c r="T44" s="414"/>
      <c r="U44" s="414"/>
      <c r="V44" s="414"/>
      <c r="W44" s="414"/>
      <c r="X44" s="414"/>
      <c r="Y44" s="414"/>
      <c r="Z44" s="414"/>
      <c r="AA44" s="414"/>
      <c r="AB44" s="414"/>
      <c r="AC44" s="414"/>
      <c r="AD44" s="414"/>
      <c r="AE44" s="414"/>
      <c r="AF44" s="414"/>
      <c r="AG44" s="414"/>
      <c r="AH44" s="414"/>
      <c r="AI44" s="414"/>
      <c r="AJ44" s="413"/>
      <c r="AK44" s="413"/>
      <c r="AL44" s="413"/>
      <c r="AM44" s="413"/>
      <c r="AN44" s="413"/>
      <c r="AO44" s="413"/>
      <c r="AP44" s="413"/>
      <c r="AQ44" s="413"/>
      <c r="AR44" s="413"/>
      <c r="AS44" s="413"/>
      <c r="AT44" s="413"/>
      <c r="AU44" s="413"/>
      <c r="AV44" s="413"/>
      <c r="AW44" s="413"/>
      <c r="AX44" s="413"/>
      <c r="AY44" s="413"/>
      <c r="AZ44" s="413"/>
      <c r="BA44" s="413"/>
    </row>
    <row r="45" spans="2:53" x14ac:dyDescent="0.2">
      <c r="B45" s="112" t="s">
        <v>10</v>
      </c>
      <c r="C45" s="113" t="s">
        <v>64</v>
      </c>
      <c r="E45" s="115">
        <f>1000*(520.78/1000)</f>
        <v>520.78</v>
      </c>
      <c r="F45" s="112" t="s">
        <v>257</v>
      </c>
      <c r="G45" s="119">
        <f>E45/1000</f>
        <v>0.52078000000000002</v>
      </c>
      <c r="H45" s="112" t="s">
        <v>218</v>
      </c>
      <c r="I45" s="113" t="s">
        <v>116</v>
      </c>
      <c r="J45" s="113">
        <v>6</v>
      </c>
      <c r="K45" s="120">
        <v>0.2</v>
      </c>
      <c r="L45" s="113" t="s">
        <v>118</v>
      </c>
      <c r="N45" s="112" t="s">
        <v>105</v>
      </c>
      <c r="O45" s="116" t="s">
        <v>106</v>
      </c>
      <c r="P45" s="455">
        <v>45383</v>
      </c>
      <c r="Q45" s="113" t="s">
        <v>107</v>
      </c>
      <c r="S45" s="115">
        <v>354.36</v>
      </c>
      <c r="T45" s="112" t="s">
        <v>217</v>
      </c>
      <c r="U45" s="119">
        <f t="shared" ref="U45:U46" si="0">S45/1000</f>
        <v>0.35436000000000001</v>
      </c>
      <c r="V45" s="112" t="s">
        <v>218</v>
      </c>
    </row>
    <row r="46" spans="2:53" x14ac:dyDescent="0.2">
      <c r="B46" s="112" t="s">
        <v>10</v>
      </c>
      <c r="C46" s="113" t="s">
        <v>65</v>
      </c>
      <c r="E46" s="115">
        <f>1000*(572.3/1000)</f>
        <v>572.29999999999995</v>
      </c>
      <c r="F46" s="112" t="s">
        <v>257</v>
      </c>
      <c r="G46" s="119">
        <f t="shared" ref="G46:G76" si="1">E46/1000</f>
        <v>0.57229999999999992</v>
      </c>
      <c r="H46" s="112" t="s">
        <v>218</v>
      </c>
      <c r="I46" s="113" t="s">
        <v>116</v>
      </c>
      <c r="J46" s="113">
        <v>6</v>
      </c>
      <c r="K46" s="120">
        <v>0.2</v>
      </c>
      <c r="L46" s="113" t="s">
        <v>88</v>
      </c>
      <c r="N46" s="112" t="s">
        <v>105</v>
      </c>
      <c r="O46" s="116" t="s">
        <v>106</v>
      </c>
      <c r="P46" s="455">
        <v>45383</v>
      </c>
      <c r="Q46" s="113" t="s">
        <v>111</v>
      </c>
      <c r="S46" s="115">
        <v>376.8</v>
      </c>
      <c r="T46" s="112" t="s">
        <v>217</v>
      </c>
      <c r="U46" s="119">
        <f t="shared" si="0"/>
        <v>0.37680000000000002</v>
      </c>
      <c r="V46" s="112" t="s">
        <v>218</v>
      </c>
    </row>
    <row r="47" spans="2:53" x14ac:dyDescent="0.2">
      <c r="B47" s="112" t="s">
        <v>10</v>
      </c>
      <c r="C47" s="113" t="s">
        <v>66</v>
      </c>
      <c r="E47" s="115">
        <f>1000*(217.04/1000)</f>
        <v>217.04</v>
      </c>
      <c r="F47" s="112" t="s">
        <v>257</v>
      </c>
      <c r="G47" s="119">
        <f t="shared" si="1"/>
        <v>0.21703999999999998</v>
      </c>
      <c r="H47" s="112" t="s">
        <v>218</v>
      </c>
      <c r="I47" s="113" t="s">
        <v>116</v>
      </c>
      <c r="J47" s="113">
        <v>6</v>
      </c>
      <c r="K47" s="120">
        <v>0.5</v>
      </c>
      <c r="L47" s="113" t="s">
        <v>118</v>
      </c>
      <c r="N47" s="112" t="s">
        <v>105</v>
      </c>
      <c r="O47" s="116" t="s">
        <v>106</v>
      </c>
      <c r="P47" s="455">
        <v>45383</v>
      </c>
      <c r="Q47" s="113" t="s">
        <v>107</v>
      </c>
      <c r="S47" s="115">
        <v>354.36</v>
      </c>
      <c r="T47" s="112" t="s">
        <v>217</v>
      </c>
      <c r="U47" s="119">
        <f t="shared" ref="U47:U48" si="2">S47/1000</f>
        <v>0.35436000000000001</v>
      </c>
      <c r="V47" s="112" t="s">
        <v>218</v>
      </c>
    </row>
    <row r="48" spans="2:53" x14ac:dyDescent="0.2">
      <c r="B48" s="112" t="s">
        <v>10</v>
      </c>
      <c r="C48" s="113" t="s">
        <v>67</v>
      </c>
      <c r="E48" s="115">
        <f>1000*(249.33/1000)</f>
        <v>249.33</v>
      </c>
      <c r="F48" s="112" t="s">
        <v>257</v>
      </c>
      <c r="G48" s="119">
        <f t="shared" si="1"/>
        <v>0.24933000000000002</v>
      </c>
      <c r="H48" s="112" t="s">
        <v>218</v>
      </c>
      <c r="I48" s="113" t="s">
        <v>116</v>
      </c>
      <c r="J48" s="113">
        <v>6</v>
      </c>
      <c r="K48" s="120">
        <v>0.5</v>
      </c>
      <c r="L48" s="113" t="s">
        <v>88</v>
      </c>
      <c r="N48" s="112" t="s">
        <v>105</v>
      </c>
      <c r="O48" s="116" t="s">
        <v>106</v>
      </c>
      <c r="P48" s="455">
        <v>45383</v>
      </c>
      <c r="Q48" s="113" t="s">
        <v>111</v>
      </c>
      <c r="S48" s="115">
        <v>376.8</v>
      </c>
      <c r="T48" s="112" t="s">
        <v>217</v>
      </c>
      <c r="U48" s="119">
        <f t="shared" si="2"/>
        <v>0.37680000000000002</v>
      </c>
      <c r="V48" s="112" t="s">
        <v>218</v>
      </c>
    </row>
    <row r="49" spans="2:22" x14ac:dyDescent="0.2">
      <c r="B49" s="112" t="s">
        <v>10</v>
      </c>
      <c r="C49" s="113" t="s">
        <v>68</v>
      </c>
      <c r="E49" s="115">
        <f>1000*(141.11/1000)</f>
        <v>141.11000000000001</v>
      </c>
      <c r="F49" s="112" t="s">
        <v>257</v>
      </c>
      <c r="G49" s="119">
        <f t="shared" si="1"/>
        <v>0.14111000000000001</v>
      </c>
      <c r="H49" s="112" t="s">
        <v>218</v>
      </c>
      <c r="I49" s="113" t="s">
        <v>116</v>
      </c>
      <c r="J49" s="113">
        <v>6</v>
      </c>
      <c r="K49" s="120">
        <v>0.8</v>
      </c>
      <c r="L49" s="113" t="s">
        <v>118</v>
      </c>
      <c r="N49" s="112" t="s">
        <v>105</v>
      </c>
      <c r="O49" s="116" t="s">
        <v>106</v>
      </c>
      <c r="P49" s="455">
        <v>45383</v>
      </c>
      <c r="Q49" s="113" t="s">
        <v>107</v>
      </c>
      <c r="S49" s="115">
        <v>354.36</v>
      </c>
      <c r="T49" s="112" t="s">
        <v>217</v>
      </c>
      <c r="U49" s="119">
        <f t="shared" ref="U49:U84" si="3">S49/1000</f>
        <v>0.35436000000000001</v>
      </c>
      <c r="V49" s="112" t="s">
        <v>218</v>
      </c>
    </row>
    <row r="50" spans="2:22" x14ac:dyDescent="0.2">
      <c r="B50" s="112" t="s">
        <v>10</v>
      </c>
      <c r="C50" s="113" t="s">
        <v>69</v>
      </c>
      <c r="E50" s="115">
        <f>1000*(168.59/1000)</f>
        <v>168.59</v>
      </c>
      <c r="F50" s="112" t="s">
        <v>257</v>
      </c>
      <c r="G50" s="119">
        <f t="shared" si="1"/>
        <v>0.16858999999999999</v>
      </c>
      <c r="H50" s="112" t="s">
        <v>218</v>
      </c>
      <c r="I50" s="113" t="s">
        <v>116</v>
      </c>
      <c r="J50" s="113">
        <v>6</v>
      </c>
      <c r="K50" s="120">
        <v>0.8</v>
      </c>
      <c r="L50" s="113" t="s">
        <v>88</v>
      </c>
      <c r="N50" s="112" t="s">
        <v>105</v>
      </c>
      <c r="O50" s="116" t="s">
        <v>106</v>
      </c>
      <c r="P50" s="455">
        <v>45383</v>
      </c>
      <c r="Q50" s="113" t="s">
        <v>111</v>
      </c>
      <c r="S50" s="115">
        <v>376.8</v>
      </c>
      <c r="T50" s="112" t="s">
        <v>217</v>
      </c>
      <c r="U50" s="119">
        <f t="shared" si="3"/>
        <v>0.37680000000000002</v>
      </c>
      <c r="V50" s="112" t="s">
        <v>218</v>
      </c>
    </row>
    <row r="51" spans="2:22" x14ac:dyDescent="0.2">
      <c r="B51" s="112" t="s">
        <v>10</v>
      </c>
      <c r="C51" s="113" t="s">
        <v>70</v>
      </c>
      <c r="E51" s="115">
        <f>1000*(115.79/1000)</f>
        <v>115.79</v>
      </c>
      <c r="F51" s="112" t="s">
        <v>257</v>
      </c>
      <c r="G51" s="119">
        <f t="shared" si="1"/>
        <v>0.11579</v>
      </c>
      <c r="H51" s="112" t="s">
        <v>218</v>
      </c>
      <c r="I51" s="113" t="s">
        <v>116</v>
      </c>
      <c r="J51" s="113">
        <v>6</v>
      </c>
      <c r="K51" s="120">
        <v>1</v>
      </c>
      <c r="L51" s="113" t="s">
        <v>118</v>
      </c>
      <c r="N51" s="112" t="s">
        <v>105</v>
      </c>
      <c r="O51" s="116" t="s">
        <v>106</v>
      </c>
      <c r="P51" s="455">
        <v>45383</v>
      </c>
      <c r="Q51" s="113" t="s">
        <v>107</v>
      </c>
      <c r="S51" s="115">
        <v>354.36</v>
      </c>
      <c r="T51" s="112" t="s">
        <v>217</v>
      </c>
      <c r="U51" s="119">
        <f t="shared" si="3"/>
        <v>0.35436000000000001</v>
      </c>
      <c r="V51" s="112" t="s">
        <v>218</v>
      </c>
    </row>
    <row r="52" spans="2:22" x14ac:dyDescent="0.2">
      <c r="B52" s="112" t="s">
        <v>10</v>
      </c>
      <c r="C52" s="113" t="s">
        <v>71</v>
      </c>
      <c r="E52" s="115">
        <f>1000*(141.6/1000)</f>
        <v>141.6</v>
      </c>
      <c r="F52" s="112" t="s">
        <v>257</v>
      </c>
      <c r="G52" s="119">
        <f t="shared" si="1"/>
        <v>0.1416</v>
      </c>
      <c r="H52" s="112" t="s">
        <v>218</v>
      </c>
      <c r="I52" s="113" t="s">
        <v>116</v>
      </c>
      <c r="J52" s="113">
        <v>6</v>
      </c>
      <c r="K52" s="120">
        <v>1</v>
      </c>
      <c r="L52" s="113" t="s">
        <v>88</v>
      </c>
      <c r="N52" s="112" t="s">
        <v>105</v>
      </c>
      <c r="O52" s="116" t="s">
        <v>106</v>
      </c>
      <c r="P52" s="455">
        <v>45383</v>
      </c>
      <c r="Q52" s="113" t="s">
        <v>111</v>
      </c>
      <c r="S52" s="115">
        <v>376.8</v>
      </c>
      <c r="T52" s="112" t="s">
        <v>217</v>
      </c>
      <c r="U52" s="119">
        <f t="shared" si="3"/>
        <v>0.37680000000000002</v>
      </c>
      <c r="V52" s="112" t="s">
        <v>218</v>
      </c>
    </row>
    <row r="53" spans="2:22" x14ac:dyDescent="0.2">
      <c r="B53" s="112" t="s">
        <v>10</v>
      </c>
      <c r="C53" s="113" t="s">
        <v>72</v>
      </c>
      <c r="E53" s="115">
        <f>1000*(277.45/1000)</f>
        <v>277.45</v>
      </c>
      <c r="F53" s="112" t="s">
        <v>257</v>
      </c>
      <c r="G53" s="119">
        <f t="shared" si="1"/>
        <v>0.27744999999999997</v>
      </c>
      <c r="H53" s="112" t="s">
        <v>218</v>
      </c>
      <c r="I53" s="113" t="s">
        <v>116</v>
      </c>
      <c r="J53" s="113">
        <v>15</v>
      </c>
      <c r="K53" s="120">
        <v>0.2</v>
      </c>
      <c r="L53" s="113" t="s">
        <v>118</v>
      </c>
      <c r="N53" s="112" t="s">
        <v>105</v>
      </c>
      <c r="O53" s="116" t="s">
        <v>106</v>
      </c>
      <c r="P53" s="455">
        <v>45383</v>
      </c>
      <c r="Q53" s="113" t="s">
        <v>112</v>
      </c>
      <c r="S53" s="115">
        <v>480.99</v>
      </c>
      <c r="T53" s="112" t="s">
        <v>217</v>
      </c>
      <c r="U53" s="119">
        <f t="shared" si="3"/>
        <v>0.48099000000000003</v>
      </c>
      <c r="V53" s="112" t="s">
        <v>218</v>
      </c>
    </row>
    <row r="54" spans="2:22" x14ac:dyDescent="0.2">
      <c r="B54" s="112" t="s">
        <v>10</v>
      </c>
      <c r="C54" s="113" t="s">
        <v>73</v>
      </c>
      <c r="E54" s="115">
        <f>1000*(361.85/1000)</f>
        <v>361.85</v>
      </c>
      <c r="F54" s="112" t="s">
        <v>257</v>
      </c>
      <c r="G54" s="119">
        <f t="shared" si="1"/>
        <v>0.36185</v>
      </c>
      <c r="H54" s="112" t="s">
        <v>218</v>
      </c>
      <c r="I54" s="113" t="s">
        <v>116</v>
      </c>
      <c r="J54" s="113">
        <v>15</v>
      </c>
      <c r="K54" s="120">
        <v>0.2</v>
      </c>
      <c r="L54" s="113" t="s">
        <v>88</v>
      </c>
      <c r="N54" s="112" t="s">
        <v>105</v>
      </c>
      <c r="O54" s="116" t="s">
        <v>106</v>
      </c>
      <c r="P54" s="455">
        <v>45383</v>
      </c>
      <c r="Q54" s="113" t="s">
        <v>119</v>
      </c>
      <c r="S54" s="115">
        <v>596.71</v>
      </c>
      <c r="T54" s="112" t="s">
        <v>217</v>
      </c>
      <c r="U54" s="119">
        <f t="shared" si="3"/>
        <v>0.59671000000000007</v>
      </c>
      <c r="V54" s="112" t="s">
        <v>218</v>
      </c>
    </row>
    <row r="55" spans="2:22" x14ac:dyDescent="0.2">
      <c r="B55" s="112" t="s">
        <v>10</v>
      </c>
      <c r="C55" s="113" t="s">
        <v>74</v>
      </c>
      <c r="E55" s="115">
        <f>1000*(117.12/1000)</f>
        <v>117.12</v>
      </c>
      <c r="F55" s="112" t="s">
        <v>257</v>
      </c>
      <c r="G55" s="119">
        <f t="shared" si="1"/>
        <v>0.11712</v>
      </c>
      <c r="H55" s="112" t="s">
        <v>218</v>
      </c>
      <c r="I55" s="113" t="s">
        <v>116</v>
      </c>
      <c r="J55" s="113">
        <v>15</v>
      </c>
      <c r="K55" s="120">
        <v>0.5</v>
      </c>
      <c r="L55" s="113" t="s">
        <v>118</v>
      </c>
      <c r="N55" s="112" t="s">
        <v>105</v>
      </c>
      <c r="O55" s="116" t="s">
        <v>106</v>
      </c>
      <c r="P55" s="455">
        <v>45383</v>
      </c>
      <c r="Q55" s="113" t="s">
        <v>112</v>
      </c>
      <c r="S55" s="115">
        <v>480.99</v>
      </c>
      <c r="T55" s="112" t="s">
        <v>217</v>
      </c>
      <c r="U55" s="119">
        <f t="shared" si="3"/>
        <v>0.48099000000000003</v>
      </c>
      <c r="V55" s="112" t="s">
        <v>218</v>
      </c>
    </row>
    <row r="56" spans="2:22" x14ac:dyDescent="0.2">
      <c r="B56" s="112" t="s">
        <v>10</v>
      </c>
      <c r="C56" s="113" t="s">
        <v>75</v>
      </c>
      <c r="E56" s="115">
        <f>1000*(162.95/1000)</f>
        <v>162.94999999999999</v>
      </c>
      <c r="F56" s="112" t="s">
        <v>257</v>
      </c>
      <c r="G56" s="119">
        <f t="shared" si="1"/>
        <v>0.16294999999999998</v>
      </c>
      <c r="H56" s="112" t="s">
        <v>218</v>
      </c>
      <c r="I56" s="113" t="s">
        <v>116</v>
      </c>
      <c r="J56" s="113">
        <v>15</v>
      </c>
      <c r="K56" s="120">
        <v>0.5</v>
      </c>
      <c r="L56" s="113" t="s">
        <v>88</v>
      </c>
      <c r="N56" s="112" t="s">
        <v>105</v>
      </c>
      <c r="O56" s="116" t="s">
        <v>106</v>
      </c>
      <c r="P56" s="455">
        <v>45383</v>
      </c>
      <c r="Q56" s="113" t="s">
        <v>119</v>
      </c>
      <c r="S56" s="115">
        <v>596.71</v>
      </c>
      <c r="T56" s="112" t="s">
        <v>217</v>
      </c>
      <c r="U56" s="119">
        <f t="shared" si="3"/>
        <v>0.59671000000000007</v>
      </c>
      <c r="V56" s="112" t="s">
        <v>218</v>
      </c>
    </row>
    <row r="57" spans="2:22" x14ac:dyDescent="0.2">
      <c r="B57" s="112" t="s">
        <v>10</v>
      </c>
      <c r="C57" s="113" t="s">
        <v>76</v>
      </c>
      <c r="E57" s="115">
        <f>1000*(77.03/1000)</f>
        <v>77.03</v>
      </c>
      <c r="F57" s="112" t="s">
        <v>257</v>
      </c>
      <c r="G57" s="119">
        <f t="shared" si="1"/>
        <v>7.7030000000000001E-2</v>
      </c>
      <c r="H57" s="112" t="s">
        <v>218</v>
      </c>
      <c r="I57" s="113" t="s">
        <v>116</v>
      </c>
      <c r="J57" s="113">
        <v>15</v>
      </c>
      <c r="K57" s="120">
        <v>0.8</v>
      </c>
      <c r="L57" s="113" t="s">
        <v>118</v>
      </c>
      <c r="N57" s="112" t="s">
        <v>105</v>
      </c>
      <c r="O57" s="116" t="s">
        <v>106</v>
      </c>
      <c r="P57" s="455">
        <v>45383</v>
      </c>
      <c r="Q57" s="113" t="s">
        <v>112</v>
      </c>
      <c r="S57" s="115">
        <v>480.99</v>
      </c>
      <c r="T57" s="112" t="s">
        <v>217</v>
      </c>
      <c r="U57" s="119">
        <f t="shared" si="3"/>
        <v>0.48099000000000003</v>
      </c>
      <c r="V57" s="112" t="s">
        <v>218</v>
      </c>
    </row>
    <row r="58" spans="2:22" x14ac:dyDescent="0.2">
      <c r="B58" s="112" t="s">
        <v>10</v>
      </c>
      <c r="C58" s="113" t="s">
        <v>77</v>
      </c>
      <c r="E58" s="115">
        <f>1000*(113.22/1000)</f>
        <v>113.22</v>
      </c>
      <c r="F58" s="112" t="s">
        <v>257</v>
      </c>
      <c r="G58" s="119">
        <f t="shared" si="1"/>
        <v>0.11322</v>
      </c>
      <c r="H58" s="112" t="s">
        <v>218</v>
      </c>
      <c r="I58" s="113" t="s">
        <v>116</v>
      </c>
      <c r="J58" s="113">
        <v>15</v>
      </c>
      <c r="K58" s="120">
        <v>0.8</v>
      </c>
      <c r="L58" s="113" t="s">
        <v>88</v>
      </c>
      <c r="N58" s="112" t="s">
        <v>105</v>
      </c>
      <c r="O58" s="116" t="s">
        <v>106</v>
      </c>
      <c r="P58" s="455">
        <v>45383</v>
      </c>
      <c r="Q58" s="113" t="s">
        <v>119</v>
      </c>
      <c r="S58" s="115">
        <v>596.71</v>
      </c>
      <c r="T58" s="112" t="s">
        <v>217</v>
      </c>
      <c r="U58" s="119">
        <f t="shared" si="3"/>
        <v>0.59671000000000007</v>
      </c>
      <c r="V58" s="112" t="s">
        <v>218</v>
      </c>
    </row>
    <row r="59" spans="2:22" x14ac:dyDescent="0.2">
      <c r="B59" s="112" t="s">
        <v>10</v>
      </c>
      <c r="C59" s="113" t="s">
        <v>78</v>
      </c>
      <c r="E59" s="115">
        <f>1000*(63.67/1000)</f>
        <v>63.67</v>
      </c>
      <c r="F59" s="112" t="s">
        <v>257</v>
      </c>
      <c r="G59" s="119">
        <f t="shared" si="1"/>
        <v>6.3670000000000004E-2</v>
      </c>
      <c r="H59" s="112" t="s">
        <v>218</v>
      </c>
      <c r="I59" s="113" t="s">
        <v>116</v>
      </c>
      <c r="J59" s="113">
        <v>15</v>
      </c>
      <c r="K59" s="120">
        <v>1</v>
      </c>
      <c r="L59" s="113" t="s">
        <v>118</v>
      </c>
      <c r="N59" s="112" t="s">
        <v>105</v>
      </c>
      <c r="O59" s="116" t="s">
        <v>106</v>
      </c>
      <c r="P59" s="455">
        <v>45383</v>
      </c>
      <c r="Q59" s="113" t="s">
        <v>112</v>
      </c>
      <c r="S59" s="115">
        <v>480.99</v>
      </c>
      <c r="T59" s="112" t="s">
        <v>217</v>
      </c>
      <c r="U59" s="119">
        <f t="shared" si="3"/>
        <v>0.48099000000000003</v>
      </c>
      <c r="V59" s="112" t="s">
        <v>218</v>
      </c>
    </row>
    <row r="60" spans="2:22" x14ac:dyDescent="0.2">
      <c r="B60" s="112" t="s">
        <v>10</v>
      </c>
      <c r="C60" s="113" t="s">
        <v>79</v>
      </c>
      <c r="E60" s="115">
        <v>96.65</v>
      </c>
      <c r="F60" s="112" t="s">
        <v>257</v>
      </c>
      <c r="G60" s="119">
        <f t="shared" si="1"/>
        <v>9.665E-2</v>
      </c>
      <c r="H60" s="112" t="s">
        <v>218</v>
      </c>
      <c r="I60" s="113" t="s">
        <v>116</v>
      </c>
      <c r="J60" s="113">
        <v>15</v>
      </c>
      <c r="K60" s="120">
        <v>1</v>
      </c>
      <c r="L60" s="113" t="s">
        <v>88</v>
      </c>
      <c r="N60" s="112" t="s">
        <v>105</v>
      </c>
      <c r="O60" s="116" t="s">
        <v>106</v>
      </c>
      <c r="P60" s="455">
        <v>45383</v>
      </c>
      <c r="Q60" s="113" t="s">
        <v>119</v>
      </c>
      <c r="S60" s="115">
        <v>596.71</v>
      </c>
      <c r="T60" s="112" t="s">
        <v>217</v>
      </c>
      <c r="U60" s="119">
        <f t="shared" si="3"/>
        <v>0.59671000000000007</v>
      </c>
      <c r="V60" s="112" t="s">
        <v>218</v>
      </c>
    </row>
    <row r="61" spans="2:22" x14ac:dyDescent="0.2">
      <c r="B61" s="112" t="s">
        <v>10</v>
      </c>
      <c r="C61" s="113" t="s">
        <v>80</v>
      </c>
      <c r="E61" s="113">
        <v>203.08</v>
      </c>
      <c r="F61" s="112" t="s">
        <v>257</v>
      </c>
      <c r="G61" s="119">
        <f t="shared" si="1"/>
        <v>0.20308000000000001</v>
      </c>
      <c r="H61" s="112" t="s">
        <v>218</v>
      </c>
      <c r="I61" s="113" t="s">
        <v>117</v>
      </c>
      <c r="J61" s="113">
        <v>32</v>
      </c>
      <c r="K61" s="120">
        <v>0.2</v>
      </c>
      <c r="L61" s="113" t="s">
        <v>118</v>
      </c>
      <c r="N61" s="112" t="s">
        <v>105</v>
      </c>
      <c r="O61" s="116" t="s">
        <v>106</v>
      </c>
      <c r="P61" s="455">
        <v>45383</v>
      </c>
      <c r="Q61" s="113" t="s">
        <v>744</v>
      </c>
      <c r="S61" s="115">
        <v>719.41</v>
      </c>
      <c r="T61" s="112" t="s">
        <v>217</v>
      </c>
      <c r="U61" s="119">
        <f t="shared" si="3"/>
        <v>0.71940999999999999</v>
      </c>
      <c r="V61" s="112" t="s">
        <v>218</v>
      </c>
    </row>
    <row r="62" spans="2:22" x14ac:dyDescent="0.2">
      <c r="B62" s="112" t="s">
        <v>10</v>
      </c>
      <c r="C62" s="113" t="s">
        <v>81</v>
      </c>
      <c r="E62" s="113">
        <v>321.47000000000003</v>
      </c>
      <c r="F62" s="112" t="s">
        <v>257</v>
      </c>
      <c r="G62" s="119">
        <f t="shared" si="1"/>
        <v>0.32147000000000003</v>
      </c>
      <c r="H62" s="112" t="s">
        <v>218</v>
      </c>
      <c r="I62" s="113" t="s">
        <v>117</v>
      </c>
      <c r="J62" s="113">
        <v>32</v>
      </c>
      <c r="K62" s="120">
        <v>0.2</v>
      </c>
      <c r="L62" s="113" t="s">
        <v>88</v>
      </c>
      <c r="N62" s="112" t="s">
        <v>105</v>
      </c>
      <c r="O62" s="116" t="s">
        <v>106</v>
      </c>
      <c r="P62" s="455">
        <v>45383</v>
      </c>
      <c r="Q62" s="113" t="s">
        <v>745</v>
      </c>
      <c r="S62" s="115">
        <v>1088.8800000000001</v>
      </c>
      <c r="T62" s="112" t="s">
        <v>217</v>
      </c>
      <c r="U62" s="119">
        <f t="shared" si="3"/>
        <v>1.0888800000000001</v>
      </c>
      <c r="V62" s="112" t="s">
        <v>218</v>
      </c>
    </row>
    <row r="63" spans="2:22" x14ac:dyDescent="0.2">
      <c r="B63" s="112" t="s">
        <v>10</v>
      </c>
      <c r="C63" s="113" t="s">
        <v>82</v>
      </c>
      <c r="E63" s="113">
        <v>89.49</v>
      </c>
      <c r="F63" s="112" t="s">
        <v>257</v>
      </c>
      <c r="G63" s="119">
        <f t="shared" si="1"/>
        <v>8.949E-2</v>
      </c>
      <c r="H63" s="112" t="s">
        <v>218</v>
      </c>
      <c r="I63" s="113" t="s">
        <v>117</v>
      </c>
      <c r="J63" s="113">
        <v>32</v>
      </c>
      <c r="K63" s="120">
        <v>0.5</v>
      </c>
      <c r="L63" s="113" t="s">
        <v>118</v>
      </c>
      <c r="N63" s="112" t="s">
        <v>105</v>
      </c>
      <c r="O63" s="116" t="s">
        <v>106</v>
      </c>
      <c r="P63" s="455">
        <v>45383</v>
      </c>
      <c r="Q63" s="113" t="s">
        <v>744</v>
      </c>
      <c r="S63" s="115">
        <v>719.41</v>
      </c>
      <c r="T63" s="112" t="s">
        <v>217</v>
      </c>
      <c r="U63" s="119">
        <f t="shared" si="3"/>
        <v>0.71940999999999999</v>
      </c>
      <c r="V63" s="112" t="s">
        <v>218</v>
      </c>
    </row>
    <row r="64" spans="2:22" x14ac:dyDescent="0.2">
      <c r="B64" s="112" t="s">
        <v>10</v>
      </c>
      <c r="C64" s="113" t="s">
        <v>83</v>
      </c>
      <c r="E64" s="113">
        <v>150.80000000000001</v>
      </c>
      <c r="F64" s="112" t="s">
        <v>257</v>
      </c>
      <c r="G64" s="119">
        <f t="shared" si="1"/>
        <v>0.15080000000000002</v>
      </c>
      <c r="H64" s="112" t="s">
        <v>218</v>
      </c>
      <c r="I64" s="113" t="s">
        <v>117</v>
      </c>
      <c r="J64" s="113">
        <v>32</v>
      </c>
      <c r="K64" s="120">
        <v>0.5</v>
      </c>
      <c r="L64" s="113" t="s">
        <v>88</v>
      </c>
      <c r="N64" s="112" t="s">
        <v>105</v>
      </c>
      <c r="O64" s="116" t="s">
        <v>106</v>
      </c>
      <c r="P64" s="455">
        <v>45383</v>
      </c>
      <c r="Q64" s="113" t="s">
        <v>745</v>
      </c>
      <c r="S64" s="115">
        <v>1088.8800000000001</v>
      </c>
      <c r="T64" s="112" t="s">
        <v>217</v>
      </c>
      <c r="U64" s="119">
        <f t="shared" si="3"/>
        <v>1.0888800000000001</v>
      </c>
      <c r="V64" s="112" t="s">
        <v>218</v>
      </c>
    </row>
    <row r="65" spans="2:22" x14ac:dyDescent="0.2">
      <c r="B65" s="112" t="s">
        <v>10</v>
      </c>
      <c r="C65" s="113" t="s">
        <v>84</v>
      </c>
      <c r="E65" s="113">
        <v>61.09</v>
      </c>
      <c r="F65" s="112" t="s">
        <v>257</v>
      </c>
      <c r="G65" s="119">
        <f t="shared" si="1"/>
        <v>6.1090000000000005E-2</v>
      </c>
      <c r="H65" s="112" t="s">
        <v>218</v>
      </c>
      <c r="I65" s="113" t="s">
        <v>117</v>
      </c>
      <c r="J65" s="113">
        <v>32</v>
      </c>
      <c r="K65" s="120">
        <v>0.8</v>
      </c>
      <c r="L65" s="113" t="s">
        <v>118</v>
      </c>
      <c r="N65" s="112" t="s">
        <v>105</v>
      </c>
      <c r="O65" s="116" t="s">
        <v>106</v>
      </c>
      <c r="P65" s="455">
        <v>45383</v>
      </c>
      <c r="Q65" s="113" t="s">
        <v>744</v>
      </c>
      <c r="S65" s="115">
        <v>719.41</v>
      </c>
      <c r="T65" s="112" t="s">
        <v>217</v>
      </c>
      <c r="U65" s="119">
        <f t="shared" si="3"/>
        <v>0.71940999999999999</v>
      </c>
      <c r="V65" s="112" t="s">
        <v>218</v>
      </c>
    </row>
    <row r="66" spans="2:22" x14ac:dyDescent="0.2">
      <c r="B66" s="112" t="s">
        <v>10</v>
      </c>
      <c r="C66" s="113" t="s">
        <v>85</v>
      </c>
      <c r="E66" s="113">
        <v>108.14</v>
      </c>
      <c r="F66" s="112" t="s">
        <v>257</v>
      </c>
      <c r="G66" s="119">
        <f t="shared" si="1"/>
        <v>0.10814</v>
      </c>
      <c r="H66" s="112" t="s">
        <v>218</v>
      </c>
      <c r="I66" s="113" t="s">
        <v>117</v>
      </c>
      <c r="J66" s="113">
        <v>32</v>
      </c>
      <c r="K66" s="120">
        <v>0.8</v>
      </c>
      <c r="L66" s="113" t="s">
        <v>88</v>
      </c>
      <c r="N66" s="112" t="s">
        <v>105</v>
      </c>
      <c r="O66" s="116" t="s">
        <v>106</v>
      </c>
      <c r="P66" s="455">
        <v>45383</v>
      </c>
      <c r="Q66" s="113" t="s">
        <v>745</v>
      </c>
      <c r="S66" s="115">
        <v>1088.8800000000001</v>
      </c>
      <c r="T66" s="112" t="s">
        <v>217</v>
      </c>
      <c r="U66" s="119">
        <f t="shared" si="3"/>
        <v>1.0888800000000001</v>
      </c>
      <c r="V66" s="112" t="s">
        <v>218</v>
      </c>
    </row>
    <row r="67" spans="2:22" x14ac:dyDescent="0.2">
      <c r="B67" s="112" t="s">
        <v>10</v>
      </c>
      <c r="C67" s="113" t="s">
        <v>86</v>
      </c>
      <c r="E67" s="113">
        <v>51.63</v>
      </c>
      <c r="F67" s="112" t="s">
        <v>257</v>
      </c>
      <c r="G67" s="119">
        <f t="shared" si="1"/>
        <v>5.1630000000000002E-2</v>
      </c>
      <c r="H67" s="112" t="s">
        <v>218</v>
      </c>
      <c r="I67" s="113" t="s">
        <v>117</v>
      </c>
      <c r="J67" s="113">
        <v>32</v>
      </c>
      <c r="K67" s="120">
        <v>1</v>
      </c>
      <c r="L67" s="113" t="s">
        <v>118</v>
      </c>
      <c r="N67" s="112" t="s">
        <v>105</v>
      </c>
      <c r="O67" s="116" t="s">
        <v>106</v>
      </c>
      <c r="P67" s="455">
        <v>45383</v>
      </c>
      <c r="Q67" s="113" t="s">
        <v>744</v>
      </c>
      <c r="S67" s="115">
        <v>719.41</v>
      </c>
      <c r="T67" s="112" t="s">
        <v>217</v>
      </c>
      <c r="U67" s="119">
        <f t="shared" si="3"/>
        <v>0.71940999999999999</v>
      </c>
      <c r="V67" s="112" t="s">
        <v>218</v>
      </c>
    </row>
    <row r="68" spans="2:22" x14ac:dyDescent="0.2">
      <c r="B68" s="112" t="s">
        <v>10</v>
      </c>
      <c r="C68" s="113" t="s">
        <v>87</v>
      </c>
      <c r="E68" s="113">
        <v>93.91</v>
      </c>
      <c r="F68" s="112" t="s">
        <v>257</v>
      </c>
      <c r="G68" s="119">
        <f t="shared" si="1"/>
        <v>9.3909999999999993E-2</v>
      </c>
      <c r="H68" s="112" t="s">
        <v>218</v>
      </c>
      <c r="I68" s="113" t="s">
        <v>117</v>
      </c>
      <c r="J68" s="113">
        <v>32</v>
      </c>
      <c r="K68" s="120">
        <v>1</v>
      </c>
      <c r="L68" s="113" t="s">
        <v>88</v>
      </c>
      <c r="N68" s="112" t="s">
        <v>105</v>
      </c>
      <c r="O68" s="116" t="s">
        <v>106</v>
      </c>
      <c r="P68" s="455">
        <v>45383</v>
      </c>
      <c r="Q68" s="113" t="s">
        <v>745</v>
      </c>
      <c r="S68" s="115">
        <v>1088.8800000000001</v>
      </c>
      <c r="T68" s="112" t="s">
        <v>217</v>
      </c>
      <c r="U68" s="119">
        <f t="shared" si="3"/>
        <v>1.0888800000000001</v>
      </c>
      <c r="V68" s="112" t="s">
        <v>218</v>
      </c>
    </row>
    <row r="69" spans="2:22" x14ac:dyDescent="0.2">
      <c r="B69" s="112" t="s">
        <v>10</v>
      </c>
      <c r="C69" s="113" t="s">
        <v>89</v>
      </c>
      <c r="E69" s="113">
        <v>179.58</v>
      </c>
      <c r="F69" s="112" t="s">
        <v>257</v>
      </c>
      <c r="G69" s="119">
        <f t="shared" si="1"/>
        <v>0.17958000000000002</v>
      </c>
      <c r="H69" s="112" t="s">
        <v>218</v>
      </c>
      <c r="I69" s="113" t="s">
        <v>166</v>
      </c>
      <c r="J69" s="113">
        <v>40</v>
      </c>
      <c r="K69" s="120">
        <v>0.2</v>
      </c>
      <c r="L69" s="113" t="s">
        <v>118</v>
      </c>
      <c r="N69" s="112" t="s">
        <v>105</v>
      </c>
      <c r="O69" s="116" t="s">
        <v>106</v>
      </c>
      <c r="P69" s="455">
        <v>45383</v>
      </c>
      <c r="Q69" s="113" t="s">
        <v>746</v>
      </c>
      <c r="S69" s="115">
        <v>812.48</v>
      </c>
      <c r="T69" s="112" t="s">
        <v>217</v>
      </c>
      <c r="U69" s="119">
        <f t="shared" si="3"/>
        <v>0.81247999999999998</v>
      </c>
      <c r="V69" s="112" t="s">
        <v>218</v>
      </c>
    </row>
    <row r="70" spans="2:22" x14ac:dyDescent="0.2">
      <c r="B70" s="112" t="s">
        <v>10</v>
      </c>
      <c r="C70" s="113" t="s">
        <v>90</v>
      </c>
      <c r="E70" s="113">
        <v>284.83999999999997</v>
      </c>
      <c r="F70" s="112" t="s">
        <v>257</v>
      </c>
      <c r="G70" s="119">
        <f t="shared" si="1"/>
        <v>0.28483999999999998</v>
      </c>
      <c r="H70" s="112" t="s">
        <v>218</v>
      </c>
      <c r="I70" s="113" t="s">
        <v>166</v>
      </c>
      <c r="J70" s="113">
        <v>40</v>
      </c>
      <c r="K70" s="120">
        <v>0.2</v>
      </c>
      <c r="L70" s="113" t="s">
        <v>88</v>
      </c>
      <c r="N70" s="112" t="s">
        <v>105</v>
      </c>
      <c r="O70" s="116" t="s">
        <v>106</v>
      </c>
      <c r="P70" s="455">
        <v>45383</v>
      </c>
      <c r="Q70" s="113" t="s">
        <v>747</v>
      </c>
      <c r="S70" s="115">
        <v>1244.53</v>
      </c>
      <c r="T70" s="112" t="s">
        <v>217</v>
      </c>
      <c r="U70" s="119">
        <f t="shared" si="3"/>
        <v>1.2445299999999999</v>
      </c>
      <c r="V70" s="112" t="s">
        <v>218</v>
      </c>
    </row>
    <row r="71" spans="2:22" x14ac:dyDescent="0.2">
      <c r="B71" s="112" t="s">
        <v>10</v>
      </c>
      <c r="C71" s="113" t="s">
        <v>91</v>
      </c>
      <c r="E71" s="113">
        <v>82.09</v>
      </c>
      <c r="F71" s="112" t="s">
        <v>257</v>
      </c>
      <c r="G71" s="119">
        <f t="shared" si="1"/>
        <v>8.209000000000001E-2</v>
      </c>
      <c r="H71" s="112" t="s">
        <v>218</v>
      </c>
      <c r="I71" s="113" t="s">
        <v>166</v>
      </c>
      <c r="J71" s="113">
        <v>40</v>
      </c>
      <c r="K71" s="120">
        <v>0.5</v>
      </c>
      <c r="L71" s="113" t="s">
        <v>118</v>
      </c>
      <c r="N71" s="112" t="s">
        <v>105</v>
      </c>
      <c r="O71" s="116" t="s">
        <v>106</v>
      </c>
      <c r="P71" s="455">
        <v>45383</v>
      </c>
      <c r="Q71" s="113" t="s">
        <v>746</v>
      </c>
      <c r="S71" s="115">
        <v>812.48</v>
      </c>
      <c r="T71" s="112" t="s">
        <v>217</v>
      </c>
      <c r="U71" s="119">
        <f t="shared" si="3"/>
        <v>0.81247999999999998</v>
      </c>
      <c r="V71" s="112" t="s">
        <v>218</v>
      </c>
    </row>
    <row r="72" spans="2:22" x14ac:dyDescent="0.2">
      <c r="B72" s="112" t="s">
        <v>10</v>
      </c>
      <c r="C72" s="113" t="s">
        <v>92</v>
      </c>
      <c r="E72" s="113">
        <v>135.49</v>
      </c>
      <c r="F72" s="112" t="s">
        <v>257</v>
      </c>
      <c r="G72" s="119">
        <f t="shared" si="1"/>
        <v>0.13549</v>
      </c>
      <c r="H72" s="112" t="s">
        <v>218</v>
      </c>
      <c r="I72" s="113" t="s">
        <v>166</v>
      </c>
      <c r="J72" s="113">
        <v>40</v>
      </c>
      <c r="K72" s="120">
        <v>0.5</v>
      </c>
      <c r="L72" s="113" t="s">
        <v>88</v>
      </c>
      <c r="N72" s="112" t="s">
        <v>105</v>
      </c>
      <c r="O72" s="116" t="s">
        <v>106</v>
      </c>
      <c r="P72" s="455">
        <v>45383</v>
      </c>
      <c r="Q72" s="113" t="s">
        <v>747</v>
      </c>
      <c r="S72" s="115">
        <v>1244.53</v>
      </c>
      <c r="T72" s="112" t="s">
        <v>217</v>
      </c>
      <c r="U72" s="119">
        <f t="shared" si="3"/>
        <v>1.2445299999999999</v>
      </c>
      <c r="V72" s="112" t="s">
        <v>218</v>
      </c>
    </row>
    <row r="73" spans="2:22" x14ac:dyDescent="0.2">
      <c r="B73" s="112" t="s">
        <v>10</v>
      </c>
      <c r="C73" s="113" t="s">
        <v>93</v>
      </c>
      <c r="E73" s="113">
        <v>57.71</v>
      </c>
      <c r="F73" s="112" t="s">
        <v>257</v>
      </c>
      <c r="G73" s="119">
        <f t="shared" si="1"/>
        <v>5.7709999999999997E-2</v>
      </c>
      <c r="H73" s="112" t="s">
        <v>218</v>
      </c>
      <c r="I73" s="113" t="s">
        <v>166</v>
      </c>
      <c r="J73" s="113">
        <v>40</v>
      </c>
      <c r="K73" s="120">
        <v>0.8</v>
      </c>
      <c r="L73" s="113" t="s">
        <v>118</v>
      </c>
      <c r="N73" s="112" t="s">
        <v>105</v>
      </c>
      <c r="O73" s="116" t="s">
        <v>106</v>
      </c>
      <c r="P73" s="455">
        <v>45383</v>
      </c>
      <c r="Q73" s="113" t="s">
        <v>746</v>
      </c>
      <c r="S73" s="115">
        <v>812.48</v>
      </c>
      <c r="T73" s="112" t="s">
        <v>217</v>
      </c>
      <c r="U73" s="119">
        <f t="shared" si="3"/>
        <v>0.81247999999999998</v>
      </c>
      <c r="V73" s="112" t="s">
        <v>218</v>
      </c>
    </row>
    <row r="74" spans="2:22" x14ac:dyDescent="0.2">
      <c r="B74" s="112" t="s">
        <v>10</v>
      </c>
      <c r="C74" s="113" t="s">
        <v>94</v>
      </c>
      <c r="E74" s="113">
        <v>98.16</v>
      </c>
      <c r="F74" s="112" t="s">
        <v>257</v>
      </c>
      <c r="G74" s="119">
        <f t="shared" si="1"/>
        <v>9.8159999999999997E-2</v>
      </c>
      <c r="H74" s="112" t="s">
        <v>218</v>
      </c>
      <c r="I74" s="113" t="s">
        <v>166</v>
      </c>
      <c r="J74" s="113">
        <v>40</v>
      </c>
      <c r="K74" s="120">
        <v>0.8</v>
      </c>
      <c r="L74" s="113" t="s">
        <v>88</v>
      </c>
      <c r="N74" s="112" t="s">
        <v>105</v>
      </c>
      <c r="O74" s="116" t="s">
        <v>106</v>
      </c>
      <c r="P74" s="455">
        <v>45383</v>
      </c>
      <c r="Q74" s="113" t="s">
        <v>747</v>
      </c>
      <c r="S74" s="115">
        <v>1244.53</v>
      </c>
      <c r="T74" s="112" t="s">
        <v>217</v>
      </c>
      <c r="U74" s="119">
        <f t="shared" si="3"/>
        <v>1.2445299999999999</v>
      </c>
      <c r="V74" s="112" t="s">
        <v>218</v>
      </c>
    </row>
    <row r="75" spans="2:22" x14ac:dyDescent="0.2">
      <c r="B75" s="112" t="s">
        <v>10</v>
      </c>
      <c r="C75" s="113" t="s">
        <v>95</v>
      </c>
      <c r="E75" s="113">
        <v>49.95</v>
      </c>
      <c r="F75" s="112" t="s">
        <v>257</v>
      </c>
      <c r="G75" s="119">
        <f t="shared" si="1"/>
        <v>4.9950000000000001E-2</v>
      </c>
      <c r="H75" s="112" t="s">
        <v>218</v>
      </c>
      <c r="I75" s="113" t="s">
        <v>166</v>
      </c>
      <c r="J75" s="113">
        <v>40</v>
      </c>
      <c r="K75" s="120">
        <v>1</v>
      </c>
      <c r="L75" s="113" t="s">
        <v>118</v>
      </c>
      <c r="N75" s="112" t="s">
        <v>105</v>
      </c>
      <c r="O75" s="116" t="s">
        <v>106</v>
      </c>
      <c r="P75" s="455">
        <v>45383</v>
      </c>
      <c r="Q75" s="113" t="s">
        <v>746</v>
      </c>
      <c r="S75" s="115">
        <v>812.48</v>
      </c>
      <c r="T75" s="112" t="s">
        <v>217</v>
      </c>
      <c r="U75" s="119">
        <f t="shared" si="3"/>
        <v>0.81247999999999998</v>
      </c>
      <c r="V75" s="112" t="s">
        <v>218</v>
      </c>
    </row>
    <row r="76" spans="2:22" x14ac:dyDescent="0.2">
      <c r="B76" s="112" t="s">
        <v>10</v>
      </c>
      <c r="C76" s="113" t="s">
        <v>96</v>
      </c>
      <c r="E76" s="113">
        <v>85.71</v>
      </c>
      <c r="F76" s="112" t="s">
        <v>257</v>
      </c>
      <c r="G76" s="119">
        <f t="shared" si="1"/>
        <v>8.5709999999999995E-2</v>
      </c>
      <c r="H76" s="112" t="s">
        <v>218</v>
      </c>
      <c r="I76" s="113" t="s">
        <v>166</v>
      </c>
      <c r="J76" s="113">
        <v>40</v>
      </c>
      <c r="K76" s="120">
        <v>1</v>
      </c>
      <c r="L76" s="113" t="s">
        <v>88</v>
      </c>
      <c r="N76" s="112" t="s">
        <v>105</v>
      </c>
      <c r="O76" s="116" t="s">
        <v>106</v>
      </c>
      <c r="P76" s="455">
        <v>45383</v>
      </c>
      <c r="Q76" s="113" t="s">
        <v>747</v>
      </c>
      <c r="S76" s="115">
        <v>1244.53</v>
      </c>
      <c r="T76" s="112" t="s">
        <v>217</v>
      </c>
      <c r="U76" s="119">
        <f t="shared" si="3"/>
        <v>1.2445299999999999</v>
      </c>
      <c r="V76" s="112" t="s">
        <v>218</v>
      </c>
    </row>
    <row r="77" spans="2:22" x14ac:dyDescent="0.2">
      <c r="B77" s="112" t="s">
        <v>10</v>
      </c>
      <c r="C77" s="113" t="s">
        <v>97</v>
      </c>
      <c r="E77" s="113">
        <v>141.52000000000001</v>
      </c>
      <c r="F77" s="112" t="s">
        <v>257</v>
      </c>
      <c r="G77" s="119">
        <f t="shared" ref="G77:G84" si="4">E77/1000</f>
        <v>0.14152000000000001</v>
      </c>
      <c r="H77" s="112" t="s">
        <v>218</v>
      </c>
      <c r="I77" s="113" t="s">
        <v>167</v>
      </c>
      <c r="J77" s="113">
        <v>60</v>
      </c>
      <c r="K77" s="120">
        <v>0.2</v>
      </c>
      <c r="L77" s="113" t="s">
        <v>118</v>
      </c>
      <c r="N77" s="112" t="s">
        <v>105</v>
      </c>
      <c r="O77" s="116" t="s">
        <v>106</v>
      </c>
      <c r="P77" s="455">
        <v>45383</v>
      </c>
      <c r="Q77" s="113" t="s">
        <v>114</v>
      </c>
      <c r="S77" s="115">
        <v>1026.7</v>
      </c>
      <c r="T77" s="112" t="s">
        <v>217</v>
      </c>
      <c r="U77" s="119">
        <f t="shared" si="3"/>
        <v>1.0266999999999999</v>
      </c>
      <c r="V77" s="112" t="s">
        <v>218</v>
      </c>
    </row>
    <row r="78" spans="2:22" x14ac:dyDescent="0.2">
      <c r="B78" s="112" t="s">
        <v>10</v>
      </c>
      <c r="C78" s="113" t="s">
        <v>98</v>
      </c>
      <c r="E78" s="113">
        <v>229.92</v>
      </c>
      <c r="F78" s="112" t="s">
        <v>257</v>
      </c>
      <c r="G78" s="119">
        <f t="shared" si="4"/>
        <v>0.22991999999999999</v>
      </c>
      <c r="H78" s="112" t="s">
        <v>218</v>
      </c>
      <c r="I78" s="113" t="s">
        <v>167</v>
      </c>
      <c r="J78" s="113">
        <v>60</v>
      </c>
      <c r="K78" s="120">
        <v>0.2</v>
      </c>
      <c r="L78" s="113" t="s">
        <v>88</v>
      </c>
      <c r="N78" s="112" t="s">
        <v>105</v>
      </c>
      <c r="O78" s="116" t="s">
        <v>106</v>
      </c>
      <c r="P78" s="455">
        <v>45383</v>
      </c>
      <c r="Q78" s="113" t="s">
        <v>115</v>
      </c>
      <c r="S78" s="115">
        <v>1590.7</v>
      </c>
      <c r="T78" s="112" t="s">
        <v>217</v>
      </c>
      <c r="U78" s="119">
        <f t="shared" si="3"/>
        <v>1.5907</v>
      </c>
      <c r="V78" s="112" t="s">
        <v>218</v>
      </c>
    </row>
    <row r="79" spans="2:22" x14ac:dyDescent="0.2">
      <c r="B79" s="112" t="s">
        <v>10</v>
      </c>
      <c r="C79" s="113" t="s">
        <v>99</v>
      </c>
      <c r="E79" s="113">
        <v>64.52</v>
      </c>
      <c r="F79" s="112" t="s">
        <v>257</v>
      </c>
      <c r="G79" s="119">
        <f t="shared" si="4"/>
        <v>6.4519999999999994E-2</v>
      </c>
      <c r="H79" s="112" t="s">
        <v>218</v>
      </c>
      <c r="I79" s="113" t="s">
        <v>167</v>
      </c>
      <c r="J79" s="113">
        <v>60</v>
      </c>
      <c r="K79" s="120">
        <v>0.5</v>
      </c>
      <c r="L79" s="113" t="s">
        <v>118</v>
      </c>
      <c r="N79" s="112" t="s">
        <v>105</v>
      </c>
      <c r="O79" s="116" t="s">
        <v>106</v>
      </c>
      <c r="P79" s="455">
        <v>45383</v>
      </c>
      <c r="Q79" s="113" t="s">
        <v>114</v>
      </c>
      <c r="S79" s="115">
        <v>1026.7</v>
      </c>
      <c r="T79" s="112" t="s">
        <v>217</v>
      </c>
      <c r="U79" s="119">
        <f t="shared" si="3"/>
        <v>1.0266999999999999</v>
      </c>
      <c r="V79" s="112" t="s">
        <v>218</v>
      </c>
    </row>
    <row r="80" spans="2:22" x14ac:dyDescent="0.2">
      <c r="B80" s="112" t="s">
        <v>10</v>
      </c>
      <c r="C80" s="113" t="s">
        <v>100</v>
      </c>
      <c r="E80" s="113">
        <v>110.62</v>
      </c>
      <c r="F80" s="112" t="s">
        <v>257</v>
      </c>
      <c r="G80" s="119">
        <f t="shared" si="4"/>
        <v>0.11062000000000001</v>
      </c>
      <c r="H80" s="112" t="s">
        <v>218</v>
      </c>
      <c r="I80" s="113" t="s">
        <v>167</v>
      </c>
      <c r="J80" s="113">
        <v>60</v>
      </c>
      <c r="K80" s="120">
        <v>0.5</v>
      </c>
      <c r="L80" s="113" t="s">
        <v>88</v>
      </c>
      <c r="N80" s="112" t="s">
        <v>105</v>
      </c>
      <c r="O80" s="116" t="s">
        <v>106</v>
      </c>
      <c r="P80" s="455">
        <v>45383</v>
      </c>
      <c r="Q80" s="113" t="s">
        <v>115</v>
      </c>
      <c r="S80" s="115">
        <v>1590.7</v>
      </c>
      <c r="T80" s="112" t="s">
        <v>217</v>
      </c>
      <c r="U80" s="119">
        <f t="shared" si="3"/>
        <v>1.5907</v>
      </c>
      <c r="V80" s="112" t="s">
        <v>218</v>
      </c>
    </row>
    <row r="81" spans="2:22" x14ac:dyDescent="0.2">
      <c r="B81" s="112" t="s">
        <v>10</v>
      </c>
      <c r="C81" s="113" t="s">
        <v>101</v>
      </c>
      <c r="E81" s="113">
        <v>45.27</v>
      </c>
      <c r="F81" s="112" t="s">
        <v>257</v>
      </c>
      <c r="G81" s="119">
        <f t="shared" si="4"/>
        <v>4.5270000000000005E-2</v>
      </c>
      <c r="H81" s="112" t="s">
        <v>218</v>
      </c>
      <c r="I81" s="113" t="s">
        <v>167</v>
      </c>
      <c r="J81" s="113">
        <v>60</v>
      </c>
      <c r="K81" s="120">
        <v>0.8</v>
      </c>
      <c r="L81" s="113" t="s">
        <v>118</v>
      </c>
      <c r="N81" s="112" t="s">
        <v>105</v>
      </c>
      <c r="O81" s="116" t="s">
        <v>106</v>
      </c>
      <c r="P81" s="455">
        <v>45383</v>
      </c>
      <c r="Q81" s="113" t="s">
        <v>114</v>
      </c>
      <c r="S81" s="115">
        <v>1026.7</v>
      </c>
      <c r="T81" s="112" t="s">
        <v>217</v>
      </c>
      <c r="U81" s="119">
        <f t="shared" si="3"/>
        <v>1.0266999999999999</v>
      </c>
      <c r="V81" s="112" t="s">
        <v>218</v>
      </c>
    </row>
    <row r="82" spans="2:22" x14ac:dyDescent="0.2">
      <c r="B82" s="112" t="s">
        <v>10</v>
      </c>
      <c r="C82" s="113" t="s">
        <v>102</v>
      </c>
      <c r="E82" s="113">
        <v>80.790000000000006</v>
      </c>
      <c r="F82" s="112" t="s">
        <v>257</v>
      </c>
      <c r="G82" s="119">
        <f t="shared" si="4"/>
        <v>8.0790000000000001E-2</v>
      </c>
      <c r="H82" s="112" t="s">
        <v>218</v>
      </c>
      <c r="I82" s="113" t="s">
        <v>167</v>
      </c>
      <c r="J82" s="113">
        <v>60</v>
      </c>
      <c r="K82" s="120">
        <v>0.8</v>
      </c>
      <c r="L82" s="113" t="s">
        <v>88</v>
      </c>
      <c r="N82" s="112" t="s">
        <v>105</v>
      </c>
      <c r="O82" s="116" t="s">
        <v>106</v>
      </c>
      <c r="P82" s="455">
        <v>45383</v>
      </c>
      <c r="Q82" s="113" t="s">
        <v>115</v>
      </c>
      <c r="S82" s="115">
        <v>1590.7</v>
      </c>
      <c r="T82" s="112" t="s">
        <v>217</v>
      </c>
      <c r="U82" s="119">
        <f t="shared" si="3"/>
        <v>1.5907</v>
      </c>
      <c r="V82" s="112" t="s">
        <v>218</v>
      </c>
    </row>
    <row r="83" spans="2:22" x14ac:dyDescent="0.2">
      <c r="B83" s="112" t="s">
        <v>10</v>
      </c>
      <c r="C83" s="113" t="s">
        <v>103</v>
      </c>
      <c r="E83" s="113">
        <v>38.85</v>
      </c>
      <c r="F83" s="112" t="s">
        <v>257</v>
      </c>
      <c r="G83" s="119">
        <f t="shared" si="4"/>
        <v>3.8850000000000003E-2</v>
      </c>
      <c r="H83" s="112" t="s">
        <v>218</v>
      </c>
      <c r="I83" s="113" t="s">
        <v>167</v>
      </c>
      <c r="J83" s="113">
        <v>60</v>
      </c>
      <c r="K83" s="120">
        <v>1</v>
      </c>
      <c r="L83" s="113" t="s">
        <v>118</v>
      </c>
      <c r="N83" s="112" t="s">
        <v>105</v>
      </c>
      <c r="O83" s="116" t="s">
        <v>106</v>
      </c>
      <c r="P83" s="455">
        <v>45383</v>
      </c>
      <c r="Q83" s="113" t="s">
        <v>114</v>
      </c>
      <c r="S83" s="115">
        <v>1026.7</v>
      </c>
      <c r="T83" s="112" t="s">
        <v>217</v>
      </c>
      <c r="U83" s="119">
        <f t="shared" si="3"/>
        <v>1.0266999999999999</v>
      </c>
      <c r="V83" s="112" t="s">
        <v>218</v>
      </c>
    </row>
    <row r="84" spans="2:22" x14ac:dyDescent="0.2">
      <c r="B84" s="112" t="s">
        <v>10</v>
      </c>
      <c r="C84" s="113" t="s">
        <v>104</v>
      </c>
      <c r="E84" s="113">
        <v>70.849999999999994</v>
      </c>
      <c r="F84" s="112" t="s">
        <v>257</v>
      </c>
      <c r="G84" s="119">
        <f t="shared" si="4"/>
        <v>7.0849999999999996E-2</v>
      </c>
      <c r="H84" s="112" t="s">
        <v>218</v>
      </c>
      <c r="I84" s="113" t="s">
        <v>167</v>
      </c>
      <c r="J84" s="113">
        <v>60</v>
      </c>
      <c r="K84" s="120">
        <v>1</v>
      </c>
      <c r="L84" s="113" t="s">
        <v>88</v>
      </c>
      <c r="N84" s="112" t="s">
        <v>105</v>
      </c>
      <c r="O84" s="116" t="s">
        <v>106</v>
      </c>
      <c r="P84" s="455">
        <v>45383</v>
      </c>
      <c r="Q84" s="113" t="s">
        <v>115</v>
      </c>
      <c r="S84" s="115">
        <v>1590.7</v>
      </c>
      <c r="T84" s="112" t="s">
        <v>217</v>
      </c>
      <c r="U84" s="119">
        <f t="shared" si="3"/>
        <v>1.5907</v>
      </c>
      <c r="V84" s="112" t="s">
        <v>218</v>
      </c>
    </row>
    <row r="85" spans="2:22" x14ac:dyDescent="0.2">
      <c r="K85" s="121"/>
    </row>
    <row r="86" spans="2:22" x14ac:dyDescent="0.2">
      <c r="B86" s="112" t="s">
        <v>577</v>
      </c>
      <c r="C86" s="113" t="s">
        <v>107</v>
      </c>
      <c r="E86" s="115">
        <v>354.36</v>
      </c>
      <c r="F86" s="112" t="s">
        <v>217</v>
      </c>
      <c r="G86" s="119">
        <f t="shared" ref="G86:G95" si="5">E86/1000</f>
        <v>0.35436000000000001</v>
      </c>
      <c r="H86" s="112" t="s">
        <v>218</v>
      </c>
      <c r="I86" s="113" t="s">
        <v>116</v>
      </c>
      <c r="J86" s="113">
        <v>6</v>
      </c>
      <c r="K86" s="120">
        <v>0</v>
      </c>
      <c r="L86" s="113" t="s">
        <v>118</v>
      </c>
      <c r="N86" s="112" t="s">
        <v>105</v>
      </c>
      <c r="O86" s="116" t="s">
        <v>106</v>
      </c>
      <c r="P86" s="455">
        <v>45383</v>
      </c>
    </row>
    <row r="87" spans="2:22" x14ac:dyDescent="0.2">
      <c r="B87" s="112" t="s">
        <v>577</v>
      </c>
      <c r="C87" s="113" t="s">
        <v>111</v>
      </c>
      <c r="E87" s="115">
        <v>376.8</v>
      </c>
      <c r="F87" s="112" t="s">
        <v>217</v>
      </c>
      <c r="G87" s="119">
        <f t="shared" si="5"/>
        <v>0.37680000000000002</v>
      </c>
      <c r="H87" s="112" t="s">
        <v>218</v>
      </c>
      <c r="I87" s="113" t="s">
        <v>116</v>
      </c>
      <c r="J87" s="113">
        <v>6</v>
      </c>
      <c r="K87" s="120">
        <v>0</v>
      </c>
      <c r="L87" s="113" t="s">
        <v>88</v>
      </c>
      <c r="N87" s="112" t="s">
        <v>105</v>
      </c>
      <c r="O87" s="116" t="s">
        <v>106</v>
      </c>
      <c r="P87" s="455">
        <v>45383</v>
      </c>
    </row>
    <row r="88" spans="2:22" x14ac:dyDescent="0.2">
      <c r="B88" s="112" t="s">
        <v>577</v>
      </c>
      <c r="C88" s="113" t="s">
        <v>112</v>
      </c>
      <c r="E88" s="115">
        <v>480.99</v>
      </c>
      <c r="F88" s="112" t="s">
        <v>217</v>
      </c>
      <c r="G88" s="119">
        <f t="shared" si="5"/>
        <v>0.48099000000000003</v>
      </c>
      <c r="H88" s="112" t="s">
        <v>218</v>
      </c>
      <c r="I88" s="113" t="s">
        <v>116</v>
      </c>
      <c r="J88" s="113">
        <v>15</v>
      </c>
      <c r="K88" s="120">
        <v>0</v>
      </c>
      <c r="L88" s="113" t="s">
        <v>118</v>
      </c>
      <c r="N88" s="112" t="s">
        <v>105</v>
      </c>
      <c r="O88" s="116" t="s">
        <v>106</v>
      </c>
      <c r="P88" s="455">
        <v>45383</v>
      </c>
    </row>
    <row r="89" spans="2:22" x14ac:dyDescent="0.2">
      <c r="B89" s="112" t="s">
        <v>577</v>
      </c>
      <c r="C89" s="113" t="s">
        <v>119</v>
      </c>
      <c r="E89" s="115">
        <v>596.71</v>
      </c>
      <c r="F89" s="112" t="s">
        <v>217</v>
      </c>
      <c r="G89" s="119">
        <f t="shared" si="5"/>
        <v>0.59671000000000007</v>
      </c>
      <c r="H89" s="112" t="s">
        <v>218</v>
      </c>
      <c r="I89" s="113" t="s">
        <v>116</v>
      </c>
      <c r="J89" s="113">
        <v>15</v>
      </c>
      <c r="K89" s="120">
        <v>0</v>
      </c>
      <c r="L89" s="113" t="s">
        <v>88</v>
      </c>
      <c r="N89" s="112" t="s">
        <v>105</v>
      </c>
      <c r="O89" s="116" t="s">
        <v>106</v>
      </c>
      <c r="P89" s="455">
        <v>45383</v>
      </c>
    </row>
    <row r="90" spans="2:22" x14ac:dyDescent="0.2">
      <c r="B90" s="112" t="s">
        <v>577</v>
      </c>
      <c r="C90" s="113" t="s">
        <v>744</v>
      </c>
      <c r="E90" s="115">
        <v>719.41</v>
      </c>
      <c r="F90" s="112" t="s">
        <v>217</v>
      </c>
      <c r="G90" s="119">
        <f t="shared" si="5"/>
        <v>0.71940999999999999</v>
      </c>
      <c r="H90" s="112" t="s">
        <v>218</v>
      </c>
      <c r="I90" s="113" t="s">
        <v>117</v>
      </c>
      <c r="J90" s="113">
        <v>32</v>
      </c>
      <c r="K90" s="120">
        <v>0</v>
      </c>
      <c r="L90" s="113" t="s">
        <v>118</v>
      </c>
      <c r="N90" s="112" t="s">
        <v>105</v>
      </c>
      <c r="O90" s="116" t="s">
        <v>106</v>
      </c>
      <c r="P90" s="455">
        <v>45383</v>
      </c>
    </row>
    <row r="91" spans="2:22" x14ac:dyDescent="0.2">
      <c r="B91" s="112" t="s">
        <v>577</v>
      </c>
      <c r="C91" s="113" t="s">
        <v>745</v>
      </c>
      <c r="E91" s="115">
        <v>1080.8800000000001</v>
      </c>
      <c r="F91" s="112" t="s">
        <v>217</v>
      </c>
      <c r="G91" s="119">
        <f t="shared" si="5"/>
        <v>1.0808800000000001</v>
      </c>
      <c r="H91" s="112" t="s">
        <v>218</v>
      </c>
      <c r="I91" s="113" t="s">
        <v>117</v>
      </c>
      <c r="J91" s="113">
        <v>32</v>
      </c>
      <c r="K91" s="120">
        <v>0</v>
      </c>
      <c r="L91" s="113" t="s">
        <v>88</v>
      </c>
      <c r="N91" s="112" t="s">
        <v>105</v>
      </c>
      <c r="O91" s="116" t="s">
        <v>106</v>
      </c>
      <c r="P91" s="455">
        <v>45383</v>
      </c>
    </row>
    <row r="92" spans="2:22" x14ac:dyDescent="0.2">
      <c r="B92" s="112" t="s">
        <v>577</v>
      </c>
      <c r="C92" s="113" t="s">
        <v>746</v>
      </c>
      <c r="E92" s="115">
        <v>812.48</v>
      </c>
      <c r="F92" s="112" t="s">
        <v>217</v>
      </c>
      <c r="G92" s="119">
        <f t="shared" si="5"/>
        <v>0.81247999999999998</v>
      </c>
      <c r="H92" s="112" t="s">
        <v>218</v>
      </c>
      <c r="I92" s="113" t="s">
        <v>166</v>
      </c>
      <c r="J92" s="113">
        <v>40</v>
      </c>
      <c r="K92" s="120">
        <v>0</v>
      </c>
      <c r="L92" s="113" t="s">
        <v>118</v>
      </c>
      <c r="N92" s="112" t="s">
        <v>105</v>
      </c>
      <c r="O92" s="116" t="s">
        <v>106</v>
      </c>
      <c r="P92" s="455">
        <v>45383</v>
      </c>
    </row>
    <row r="93" spans="2:22" x14ac:dyDescent="0.2">
      <c r="B93" s="112" t="s">
        <v>577</v>
      </c>
      <c r="C93" s="113" t="s">
        <v>747</v>
      </c>
      <c r="E93" s="115">
        <v>1244.53</v>
      </c>
      <c r="F93" s="112" t="s">
        <v>217</v>
      </c>
      <c r="G93" s="119">
        <f t="shared" si="5"/>
        <v>1.2445299999999999</v>
      </c>
      <c r="H93" s="112" t="s">
        <v>218</v>
      </c>
      <c r="I93" s="113" t="s">
        <v>166</v>
      </c>
      <c r="J93" s="113">
        <v>40</v>
      </c>
      <c r="K93" s="120">
        <v>0</v>
      </c>
      <c r="L93" s="113" t="s">
        <v>88</v>
      </c>
      <c r="N93" s="112" t="s">
        <v>105</v>
      </c>
      <c r="O93" s="116" t="s">
        <v>106</v>
      </c>
      <c r="P93" s="455">
        <v>45383</v>
      </c>
    </row>
    <row r="94" spans="2:22" x14ac:dyDescent="0.2">
      <c r="B94" s="112" t="s">
        <v>577</v>
      </c>
      <c r="C94" s="113" t="s">
        <v>114</v>
      </c>
      <c r="E94" s="115">
        <v>1026.7</v>
      </c>
      <c r="F94" s="112" t="s">
        <v>217</v>
      </c>
      <c r="G94" s="119">
        <f t="shared" si="5"/>
        <v>1.0266999999999999</v>
      </c>
      <c r="H94" s="112" t="s">
        <v>218</v>
      </c>
      <c r="I94" s="113" t="s">
        <v>167</v>
      </c>
      <c r="J94" s="113">
        <v>60</v>
      </c>
      <c r="K94" s="120">
        <v>0</v>
      </c>
      <c r="L94" s="113" t="s">
        <v>118</v>
      </c>
      <c r="N94" s="112" t="s">
        <v>105</v>
      </c>
      <c r="O94" s="116" t="s">
        <v>106</v>
      </c>
      <c r="P94" s="455">
        <v>45383</v>
      </c>
    </row>
    <row r="95" spans="2:22" x14ac:dyDescent="0.2">
      <c r="B95" s="112" t="s">
        <v>577</v>
      </c>
      <c r="C95" s="113" t="s">
        <v>115</v>
      </c>
      <c r="E95" s="115">
        <v>1590.7</v>
      </c>
      <c r="F95" s="112" t="s">
        <v>217</v>
      </c>
      <c r="G95" s="119">
        <f t="shared" si="5"/>
        <v>1.5907</v>
      </c>
      <c r="H95" s="112" t="s">
        <v>218</v>
      </c>
      <c r="I95" s="113" t="s">
        <v>167</v>
      </c>
      <c r="J95" s="113">
        <v>60</v>
      </c>
      <c r="K95" s="120">
        <v>0</v>
      </c>
      <c r="L95" s="113" t="s">
        <v>88</v>
      </c>
      <c r="N95" s="112" t="s">
        <v>105</v>
      </c>
      <c r="O95" s="116" t="s">
        <v>106</v>
      </c>
      <c r="P95" s="455">
        <v>45383</v>
      </c>
    </row>
    <row r="96" spans="2:22" x14ac:dyDescent="0.2">
      <c r="E96" s="122"/>
      <c r="G96" s="123"/>
      <c r="M96" s="124"/>
    </row>
    <row r="97" spans="2:20" x14ac:dyDescent="0.2">
      <c r="B97" s="112" t="s">
        <v>161</v>
      </c>
      <c r="C97" s="113" t="s">
        <v>84</v>
      </c>
      <c r="E97" s="113">
        <v>61.09</v>
      </c>
      <c r="F97" s="112" t="s">
        <v>217</v>
      </c>
      <c r="G97" s="119">
        <f t="shared" ref="G97:G98" si="6">E97/1000</f>
        <v>6.1090000000000005E-2</v>
      </c>
      <c r="H97" s="112" t="s">
        <v>218</v>
      </c>
      <c r="I97" s="113" t="s">
        <v>117</v>
      </c>
      <c r="J97" s="113">
        <v>32</v>
      </c>
      <c r="K97" s="120">
        <v>0.8</v>
      </c>
      <c r="L97" s="113" t="s">
        <v>118</v>
      </c>
      <c r="M97" s="124"/>
      <c r="N97" s="112" t="s">
        <v>105</v>
      </c>
      <c r="O97" s="116" t="s">
        <v>106</v>
      </c>
      <c r="P97" s="455">
        <v>45383</v>
      </c>
    </row>
    <row r="98" spans="2:20" x14ac:dyDescent="0.2">
      <c r="B98" s="112" t="s">
        <v>161</v>
      </c>
      <c r="C98" s="113" t="s">
        <v>113</v>
      </c>
      <c r="E98" s="115">
        <v>719.41</v>
      </c>
      <c r="F98" s="112" t="s">
        <v>217</v>
      </c>
      <c r="G98" s="119">
        <f t="shared" si="6"/>
        <v>0.71940999999999999</v>
      </c>
      <c r="H98" s="112" t="s">
        <v>218</v>
      </c>
      <c r="I98" s="113" t="s">
        <v>117</v>
      </c>
      <c r="J98" s="113">
        <v>32</v>
      </c>
      <c r="K98" s="120">
        <v>0</v>
      </c>
      <c r="L98" s="113" t="s">
        <v>118</v>
      </c>
      <c r="N98" s="112" t="s">
        <v>105</v>
      </c>
      <c r="O98" s="116" t="s">
        <v>106</v>
      </c>
      <c r="P98" s="455">
        <v>45383</v>
      </c>
    </row>
    <row r="99" spans="2:20" x14ac:dyDescent="0.2">
      <c r="C99" s="113"/>
      <c r="E99" s="115"/>
      <c r="G99" s="119"/>
      <c r="I99" s="113"/>
      <c r="J99" s="113"/>
      <c r="K99" s="120"/>
      <c r="L99" s="113"/>
      <c r="O99" s="116"/>
    </row>
    <row r="100" spans="2:20" x14ac:dyDescent="0.2">
      <c r="B100" s="112" t="s">
        <v>42</v>
      </c>
      <c r="C100" s="113" t="s">
        <v>223</v>
      </c>
      <c r="E100" s="125">
        <v>5.5</v>
      </c>
      <c r="F100" s="112" t="s">
        <v>219</v>
      </c>
      <c r="N100" s="112" t="s">
        <v>220</v>
      </c>
      <c r="O100" s="116" t="s">
        <v>221</v>
      </c>
      <c r="P100" s="455">
        <v>45383</v>
      </c>
    </row>
    <row r="101" spans="2:20" x14ac:dyDescent="0.2">
      <c r="B101" s="112" t="s">
        <v>42</v>
      </c>
      <c r="C101" s="113" t="s">
        <v>222</v>
      </c>
      <c r="E101" s="125">
        <v>7.1</v>
      </c>
      <c r="F101" s="112" t="s">
        <v>219</v>
      </c>
      <c r="N101" s="112" t="s">
        <v>220</v>
      </c>
      <c r="O101" s="116" t="s">
        <v>221</v>
      </c>
      <c r="P101" s="455">
        <v>45383</v>
      </c>
    </row>
    <row r="102" spans="2:20" x14ac:dyDescent="0.2">
      <c r="B102" s="112" t="s">
        <v>42</v>
      </c>
      <c r="C102" s="113" t="s">
        <v>228</v>
      </c>
      <c r="E102" s="125">
        <v>5.5</v>
      </c>
      <c r="F102" s="112" t="s">
        <v>226</v>
      </c>
      <c r="N102" s="112" t="s">
        <v>220</v>
      </c>
      <c r="O102" s="116" t="s">
        <v>221</v>
      </c>
      <c r="P102" s="455">
        <v>45383</v>
      </c>
    </row>
    <row r="103" spans="2:20" ht="26.25" customHeight="1" x14ac:dyDescent="0.2">
      <c r="B103" s="112" t="s">
        <v>42</v>
      </c>
      <c r="C103" s="113" t="s">
        <v>229</v>
      </c>
      <c r="E103" s="125">
        <f>G103*(100%-O103)+I103*O103</f>
        <v>4.4999999999999991</v>
      </c>
      <c r="F103" s="126" t="s">
        <v>777</v>
      </c>
      <c r="G103" s="442">
        <v>4.5</v>
      </c>
      <c r="H103" s="126" t="s">
        <v>778</v>
      </c>
      <c r="I103" s="442">
        <v>4.5</v>
      </c>
      <c r="J103" s="126" t="s">
        <v>781</v>
      </c>
      <c r="N103" s="126" t="s">
        <v>776</v>
      </c>
      <c r="O103" s="120">
        <v>0.05</v>
      </c>
      <c r="P103" s="455">
        <v>45383</v>
      </c>
      <c r="Q103" s="112" t="s">
        <v>220</v>
      </c>
      <c r="R103" s="116" t="s">
        <v>221</v>
      </c>
    </row>
    <row r="104" spans="2:20" ht="25.5" customHeight="1" x14ac:dyDescent="0.2">
      <c r="B104" s="112" t="s">
        <v>42</v>
      </c>
      <c r="C104" s="113" t="s">
        <v>230</v>
      </c>
      <c r="E104" s="125">
        <f>G104*(100%-O104)+I104*O104</f>
        <v>3.4999999999999996</v>
      </c>
      <c r="F104" s="126" t="s">
        <v>777</v>
      </c>
      <c r="G104" s="442">
        <v>3.5</v>
      </c>
      <c r="H104" s="126" t="s">
        <v>779</v>
      </c>
      <c r="I104" s="442">
        <v>3.5</v>
      </c>
      <c r="J104" s="126" t="s">
        <v>780</v>
      </c>
      <c r="K104" s="442">
        <v>7.5</v>
      </c>
      <c r="L104" s="126" t="s">
        <v>782</v>
      </c>
      <c r="M104" s="442">
        <v>6.5</v>
      </c>
      <c r="N104" s="126" t="s">
        <v>783</v>
      </c>
      <c r="O104" s="120">
        <v>0.02</v>
      </c>
      <c r="P104" s="455">
        <v>45383</v>
      </c>
      <c r="Q104" s="112" t="s">
        <v>220</v>
      </c>
      <c r="R104" s="116" t="s">
        <v>221</v>
      </c>
    </row>
    <row r="105" spans="2:20" x14ac:dyDescent="0.2">
      <c r="B105" s="112" t="s">
        <v>42</v>
      </c>
      <c r="C105" s="113" t="s">
        <v>202</v>
      </c>
      <c r="E105" s="125">
        <v>17</v>
      </c>
      <c r="F105" s="112" t="s">
        <v>225</v>
      </c>
      <c r="P105" s="455">
        <v>45383</v>
      </c>
      <c r="T105" s="116"/>
    </row>
    <row r="107" spans="2:20" x14ac:dyDescent="0.2">
      <c r="B107" s="112" t="s">
        <v>253</v>
      </c>
      <c r="C107" s="113" t="str">
        <f>C75</f>
        <v>Puoliperävaunuyhdistelmä, 40 t, 100 % kuorma, maantieajo</v>
      </c>
      <c r="E107" s="113">
        <f>E75</f>
        <v>49.95</v>
      </c>
      <c r="F107" s="112" t="s">
        <v>257</v>
      </c>
      <c r="G107" s="119">
        <f t="shared" ref="G107:H108" si="7">G75</f>
        <v>4.9950000000000001E-2</v>
      </c>
      <c r="H107" s="112" t="str">
        <f t="shared" si="7"/>
        <v>kgCO2e/tkm</v>
      </c>
      <c r="N107" s="112" t="s">
        <v>105</v>
      </c>
      <c r="P107" s="455">
        <v>45383</v>
      </c>
    </row>
    <row r="108" spans="2:20" x14ac:dyDescent="0.2">
      <c r="B108" s="112" t="s">
        <v>259</v>
      </c>
      <c r="C108" s="113" t="s">
        <v>260</v>
      </c>
      <c r="G108" s="119">
        <v>2.1999999999999999E-2</v>
      </c>
      <c r="H108" s="112" t="str">
        <f t="shared" si="7"/>
        <v>kgCO2e/tkm</v>
      </c>
      <c r="N108" s="112" t="s">
        <v>105</v>
      </c>
      <c r="P108" s="455">
        <v>45383</v>
      </c>
    </row>
    <row r="109" spans="2:20" x14ac:dyDescent="0.2">
      <c r="B109" s="112" t="s">
        <v>254</v>
      </c>
      <c r="C109" s="113" t="s">
        <v>258</v>
      </c>
      <c r="G109" s="113">
        <v>4.4999999999999998E-2</v>
      </c>
      <c r="H109" s="112" t="str">
        <f>H76</f>
        <v>kgCO2e/tkm</v>
      </c>
      <c r="N109" s="112" t="s">
        <v>105</v>
      </c>
      <c r="P109" s="455">
        <v>45383</v>
      </c>
    </row>
    <row r="110" spans="2:20" x14ac:dyDescent="0.2">
      <c r="B110" s="112" t="s">
        <v>255</v>
      </c>
      <c r="C110" s="113" t="s">
        <v>341</v>
      </c>
      <c r="G110" s="119">
        <v>0.63</v>
      </c>
      <c r="H110" s="112" t="str">
        <f>H77</f>
        <v>kgCO2e/tkm</v>
      </c>
      <c r="N110" s="112" t="s">
        <v>762</v>
      </c>
      <c r="P110" s="455">
        <v>45383</v>
      </c>
    </row>
  </sheetData>
  <phoneticPr fontId="1" type="noConversion"/>
  <hyperlinks>
    <hyperlink ref="R104" r:id="rId1" xr:uid="{5C09D0D4-5641-4845-8D6E-82D4C8A021F1}"/>
  </hyperlinks>
  <pageMargins left="0.70866141732283472" right="0.70866141732283472" top="0.74803149606299213" bottom="0.74803149606299213" header="0.31496062992125984" footer="0.31496062992125984"/>
  <pageSetup paperSize="8" scale="60" orientation="landscape" verticalDpi="0" r:id="rId2"/>
  <headerFooter>
    <oddHeader>&amp;L&amp;"-,Lihavoitu"&amp;12PIIP-laskentatyökalu&amp;RKertoimet: Kalusto
Sivu &amp;P/&amp;N</oddHeader>
    <oddFooter>&amp;L&amp;G&amp;R&amp;G</odd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7B4A3-5BA4-4760-926A-2E1FEC4DD43F}">
  <sheetPr codeName="Sheet12">
    <tabColor theme="8" tint="0.79998168889431442"/>
  </sheetPr>
  <dimension ref="A1:BB47"/>
  <sheetViews>
    <sheetView workbookViewId="0">
      <pane xSplit="4" ySplit="4" topLeftCell="E5" activePane="bottomRight" state="frozen"/>
      <selection pane="topRight" activeCell="E1" sqref="E1"/>
      <selection pane="bottomLeft" activeCell="A5" sqref="A5"/>
      <selection pane="bottomRight" activeCell="F37" sqref="F37"/>
    </sheetView>
  </sheetViews>
  <sheetFormatPr defaultColWidth="8.75" defaultRowHeight="13.9" customHeight="1" x14ac:dyDescent="0.2"/>
  <cols>
    <col min="1" max="1" width="2.75" style="15" customWidth="1"/>
    <col min="2" max="2" width="5.75" style="15" customWidth="1"/>
    <col min="3" max="3" width="12.625" style="15" bestFit="1" customWidth="1"/>
    <col min="4" max="4" width="44.875" style="15" customWidth="1"/>
    <col min="5" max="5" width="11.25" style="15" bestFit="1" customWidth="1"/>
    <col min="6" max="6" width="10.75" style="15" customWidth="1"/>
    <col min="7" max="8" width="15.75" style="13" customWidth="1"/>
    <col min="9" max="9" width="10.75" style="16" customWidth="1"/>
    <col min="10" max="10" width="31.375" style="18" customWidth="1"/>
    <col min="11" max="11" width="10.75" style="16" customWidth="1"/>
    <col min="12" max="12" width="20.75" style="18" customWidth="1"/>
    <col min="13" max="13" width="10.75" style="16" customWidth="1"/>
    <col min="14" max="14" width="20.75" style="18" customWidth="1"/>
    <col min="15" max="15" width="10.75" style="16" customWidth="1"/>
    <col min="16" max="16" width="20.75" style="18" customWidth="1"/>
    <col min="17" max="17" width="10.75" style="16" customWidth="1"/>
    <col min="18" max="18" width="20.75" style="18" customWidth="1"/>
    <col min="19" max="19" width="10.75" style="16" customWidth="1"/>
    <col min="20" max="20" width="20.75" style="18" customWidth="1"/>
    <col min="21" max="21" width="10.75" style="16" customWidth="1"/>
    <col min="22" max="22" width="20.75" style="18" customWidth="1"/>
    <col min="23" max="24" width="10.75" style="16" customWidth="1"/>
    <col min="25" max="25" width="10.75" style="13" customWidth="1"/>
    <col min="26" max="28" width="10.75" style="16" customWidth="1"/>
    <col min="29" max="30" width="10.75" style="15" customWidth="1"/>
    <col min="31" max="16384" width="8.75" style="15"/>
  </cols>
  <sheetData>
    <row r="1" spans="1:54" s="81" customFormat="1" ht="15" x14ac:dyDescent="0.2">
      <c r="A1" s="30"/>
      <c r="B1" s="30"/>
      <c r="C1" s="33"/>
      <c r="E1" s="30"/>
      <c r="G1" s="30"/>
      <c r="H1" s="30"/>
      <c r="I1" s="32"/>
      <c r="J1" s="33"/>
      <c r="K1" s="33"/>
    </row>
    <row r="2" spans="1:54" s="82" customFormat="1" ht="30" x14ac:dyDescent="0.2">
      <c r="A2" s="24"/>
      <c r="B2" s="7" t="s">
        <v>561</v>
      </c>
      <c r="C2" s="26"/>
      <c r="E2" s="24"/>
      <c r="G2" s="24"/>
      <c r="H2" s="24"/>
      <c r="I2" s="25"/>
      <c r="J2" s="26"/>
      <c r="K2" s="26"/>
    </row>
    <row r="3" spans="1:54" s="81" customFormat="1" ht="15" x14ac:dyDescent="0.2">
      <c r="A3" s="30"/>
      <c r="B3" s="30"/>
      <c r="C3" s="33"/>
      <c r="E3" s="30"/>
      <c r="G3" s="30"/>
      <c r="H3" s="30"/>
      <c r="I3" s="32"/>
      <c r="J3" s="33"/>
      <c r="K3" s="33"/>
    </row>
    <row r="4" spans="1:54" s="409" customFormat="1" ht="37.5" customHeight="1" x14ac:dyDescent="0.25">
      <c r="C4" s="409" t="s">
        <v>709</v>
      </c>
      <c r="D4" s="410" t="s">
        <v>742</v>
      </c>
      <c r="E4" s="410"/>
      <c r="F4" s="409" t="s">
        <v>171</v>
      </c>
      <c r="G4" s="410" t="s">
        <v>287</v>
      </c>
      <c r="H4" s="448" t="s">
        <v>716</v>
      </c>
      <c r="I4" s="4"/>
      <c r="J4" s="409" t="s">
        <v>713</v>
      </c>
      <c r="L4" s="409" t="s">
        <v>710</v>
      </c>
      <c r="M4" s="412"/>
      <c r="O4" s="413"/>
      <c r="P4" s="414"/>
      <c r="Q4" s="414"/>
      <c r="R4" s="414"/>
      <c r="S4" s="414"/>
      <c r="T4" s="414"/>
      <c r="U4" s="414"/>
      <c r="V4" s="409" t="s">
        <v>725</v>
      </c>
      <c r="W4" s="414"/>
      <c r="X4" s="414"/>
      <c r="Y4" s="414"/>
      <c r="Z4" s="414"/>
      <c r="AA4" s="414"/>
      <c r="AB4" s="414"/>
      <c r="AC4" s="414"/>
      <c r="AD4" s="414"/>
      <c r="AE4" s="414"/>
      <c r="AF4" s="414"/>
      <c r="AG4" s="414"/>
      <c r="AH4" s="414"/>
      <c r="AI4" s="414"/>
      <c r="AJ4" s="414"/>
      <c r="AK4" s="413"/>
      <c r="AL4" s="413"/>
      <c r="AM4" s="413"/>
      <c r="AN4" s="413"/>
      <c r="AO4" s="413"/>
      <c r="AP4" s="413"/>
      <c r="AQ4" s="413"/>
      <c r="AR4" s="413"/>
      <c r="AS4" s="413"/>
      <c r="AT4" s="413"/>
      <c r="AU4" s="413"/>
      <c r="AV4" s="413"/>
      <c r="AW4" s="413"/>
      <c r="AX4" s="413"/>
      <c r="AY4" s="413"/>
      <c r="AZ4" s="413"/>
      <c r="BA4" s="413"/>
      <c r="BB4" s="413"/>
    </row>
    <row r="5" spans="1:54" ht="42.75" x14ac:dyDescent="0.2">
      <c r="C5" s="15" t="s">
        <v>60</v>
      </c>
      <c r="D5" s="15" t="s">
        <v>61</v>
      </c>
      <c r="F5" s="183">
        <f>M5/100/100*O5</f>
        <v>8.4</v>
      </c>
      <c r="G5" s="13" t="s">
        <v>179</v>
      </c>
      <c r="H5" s="449">
        <v>45383</v>
      </c>
      <c r="J5" s="19" t="s">
        <v>720</v>
      </c>
      <c r="L5" s="18" t="s">
        <v>174</v>
      </c>
      <c r="M5" s="184">
        <v>112</v>
      </c>
      <c r="N5" s="18" t="s">
        <v>173</v>
      </c>
      <c r="O5" s="203">
        <v>750</v>
      </c>
      <c r="U5" s="18"/>
      <c r="V5" s="164" t="s">
        <v>534</v>
      </c>
      <c r="W5" s="18"/>
      <c r="X5" s="18"/>
      <c r="Y5" s="18"/>
      <c r="AA5" s="19"/>
      <c r="AC5" s="16"/>
      <c r="AD5" s="16"/>
    </row>
    <row r="6" spans="1:54" ht="42.75" x14ac:dyDescent="0.2">
      <c r="C6" s="15" t="s">
        <v>60</v>
      </c>
      <c r="D6" s="15" t="s">
        <v>172</v>
      </c>
      <c r="F6" s="183">
        <f>M5*M6/100/100+O6*Q6*S6/100+U6*O8/100</f>
        <v>0.12327540000000001</v>
      </c>
      <c r="G6" s="13" t="s">
        <v>179</v>
      </c>
      <c r="H6" s="449">
        <v>45384</v>
      </c>
      <c r="J6" s="15" t="s">
        <v>721</v>
      </c>
      <c r="L6" s="18" t="s">
        <v>535</v>
      </c>
      <c r="M6" s="184">
        <v>3.5</v>
      </c>
      <c r="N6" s="18" t="s">
        <v>175</v>
      </c>
      <c r="O6" s="188">
        <v>0.2</v>
      </c>
      <c r="P6" s="18" t="s">
        <v>176</v>
      </c>
      <c r="Q6" s="204">
        <v>0.9</v>
      </c>
      <c r="R6" s="18" t="s">
        <v>533</v>
      </c>
      <c r="S6" s="205">
        <f>(2.348+0.75)</f>
        <v>3.0979999999999999</v>
      </c>
      <c r="T6" s="18" t="s">
        <v>177</v>
      </c>
      <c r="U6" s="187">
        <v>0.23</v>
      </c>
      <c r="V6" s="13" t="s">
        <v>537</v>
      </c>
      <c r="X6" s="18"/>
      <c r="Y6" s="16"/>
      <c r="AA6" s="15"/>
      <c r="AC6" s="16"/>
      <c r="AD6" s="16"/>
    </row>
    <row r="7" spans="1:54" ht="42.75" x14ac:dyDescent="0.2">
      <c r="C7" s="15" t="s">
        <v>60</v>
      </c>
      <c r="D7" s="15" t="s">
        <v>62</v>
      </c>
      <c r="F7" s="183">
        <f>Q7/100*M7*O7</f>
        <v>4.0956000000000006E-2</v>
      </c>
      <c r="G7" s="13" t="s">
        <v>179</v>
      </c>
      <c r="H7" s="449">
        <v>45385</v>
      </c>
      <c r="J7" s="13" t="s">
        <v>722</v>
      </c>
      <c r="L7" s="18" t="s">
        <v>180</v>
      </c>
      <c r="M7" s="184">
        <v>1.2E-2</v>
      </c>
      <c r="N7" s="18" t="s">
        <v>178</v>
      </c>
      <c r="O7" s="187">
        <v>34.130000000000003</v>
      </c>
      <c r="P7" s="18" t="s">
        <v>181</v>
      </c>
      <c r="Q7" s="203">
        <v>10</v>
      </c>
      <c r="V7" s="13" t="s">
        <v>536</v>
      </c>
      <c r="X7" s="18"/>
      <c r="Y7" s="16"/>
      <c r="Z7" s="13"/>
      <c r="AA7" s="13"/>
      <c r="AC7" s="16"/>
      <c r="AD7" s="16"/>
    </row>
    <row r="8" spans="1:54" ht="71.25" x14ac:dyDescent="0.2">
      <c r="C8" s="15" t="s">
        <v>60</v>
      </c>
      <c r="D8" s="15" t="s">
        <v>63</v>
      </c>
      <c r="F8" s="183">
        <f>M8*O8</f>
        <v>0.51195000000000002</v>
      </c>
      <c r="G8" s="13" t="s">
        <v>182</v>
      </c>
      <c r="H8" s="449">
        <v>45386</v>
      </c>
      <c r="J8" s="13" t="s">
        <v>722</v>
      </c>
      <c r="L8" s="18" t="s">
        <v>532</v>
      </c>
      <c r="M8" s="184">
        <v>1.4999999999999999E-2</v>
      </c>
      <c r="N8" s="18" t="s">
        <v>178</v>
      </c>
      <c r="O8" s="187">
        <v>34.130000000000003</v>
      </c>
      <c r="Q8" s="17"/>
      <c r="V8" s="13" t="s">
        <v>538</v>
      </c>
      <c r="X8" s="18"/>
      <c r="Y8" s="16"/>
      <c r="AA8" s="13"/>
      <c r="AC8" s="16"/>
      <c r="AD8" s="16"/>
    </row>
    <row r="9" spans="1:54" ht="13.9" customHeight="1" x14ac:dyDescent="0.2">
      <c r="F9" s="16" t="s">
        <v>697</v>
      </c>
      <c r="H9" s="449">
        <v>45387</v>
      </c>
      <c r="K9" s="18"/>
      <c r="M9" s="16" t="s">
        <v>698</v>
      </c>
      <c r="O9" s="16" t="s">
        <v>699</v>
      </c>
      <c r="X9" s="18"/>
      <c r="Y9" s="16"/>
      <c r="AA9" s="13"/>
      <c r="AC9" s="16"/>
      <c r="AD9" s="16"/>
    </row>
    <row r="10" spans="1:54" ht="14.25" x14ac:dyDescent="0.2">
      <c r="C10" s="15" t="s">
        <v>201</v>
      </c>
      <c r="D10" s="15" t="s">
        <v>203</v>
      </c>
      <c r="F10" s="184">
        <v>55</v>
      </c>
      <c r="G10" s="13" t="s">
        <v>200</v>
      </c>
      <c r="H10" s="449">
        <v>45388</v>
      </c>
      <c r="J10" s="19" t="s">
        <v>723</v>
      </c>
      <c r="K10" s="19"/>
      <c r="L10" s="19"/>
      <c r="X10" s="18"/>
      <c r="Y10" s="16"/>
      <c r="AA10" s="19"/>
      <c r="AC10" s="16"/>
      <c r="AD10" s="16"/>
    </row>
    <row r="11" spans="1:54" ht="14.25" x14ac:dyDescent="0.2">
      <c r="C11" s="15" t="s">
        <v>201</v>
      </c>
      <c r="D11" s="15" t="s">
        <v>204</v>
      </c>
      <c r="F11" s="184">
        <v>60</v>
      </c>
      <c r="G11" s="13" t="s">
        <v>200</v>
      </c>
      <c r="H11" s="449">
        <v>45389</v>
      </c>
      <c r="J11" s="19" t="s">
        <v>723</v>
      </c>
      <c r="K11" s="19"/>
      <c r="L11" s="19"/>
      <c r="X11" s="18"/>
      <c r="Y11" s="16"/>
      <c r="AA11" s="19"/>
      <c r="AC11" s="16"/>
      <c r="AD11" s="16"/>
    </row>
    <row r="12" spans="1:54" ht="14.25" x14ac:dyDescent="0.2">
      <c r="C12" s="15" t="s">
        <v>201</v>
      </c>
      <c r="D12" s="15" t="s">
        <v>206</v>
      </c>
      <c r="F12" s="185">
        <v>471.27</v>
      </c>
      <c r="G12" s="13" t="s">
        <v>200</v>
      </c>
      <c r="H12" s="449">
        <v>45390</v>
      </c>
      <c r="J12" s="19" t="s">
        <v>724</v>
      </c>
      <c r="K12" s="19"/>
      <c r="L12" s="19"/>
      <c r="X12" s="18"/>
      <c r="Y12" s="16"/>
      <c r="AA12" s="19"/>
      <c r="AC12" s="16"/>
      <c r="AD12" s="16"/>
    </row>
    <row r="13" spans="1:54" ht="14.25" x14ac:dyDescent="0.2">
      <c r="C13" s="15" t="s">
        <v>201</v>
      </c>
      <c r="D13" s="15" t="s">
        <v>205</v>
      </c>
      <c r="F13" s="184">
        <v>16</v>
      </c>
      <c r="G13" s="13" t="s">
        <v>200</v>
      </c>
      <c r="H13" s="449">
        <v>45391</v>
      </c>
      <c r="J13" s="19" t="s">
        <v>220</v>
      </c>
      <c r="K13" s="19"/>
      <c r="L13" s="19"/>
      <c r="X13" s="18"/>
      <c r="Y13" s="16"/>
      <c r="AA13" s="19"/>
      <c r="AC13" s="16"/>
      <c r="AD13" s="16"/>
    </row>
    <row r="14" spans="1:54" ht="14.25" x14ac:dyDescent="0.2">
      <c r="C14" s="15" t="s">
        <v>201</v>
      </c>
      <c r="D14" s="15" t="s">
        <v>227</v>
      </c>
      <c r="F14" s="184">
        <v>60</v>
      </c>
      <c r="G14" s="13" t="s">
        <v>200</v>
      </c>
      <c r="H14" s="449">
        <v>45392</v>
      </c>
      <c r="J14" s="13" t="s">
        <v>467</v>
      </c>
      <c r="K14" s="13"/>
      <c r="L14" s="13"/>
      <c r="X14" s="18"/>
      <c r="Y14" s="16"/>
      <c r="AA14" s="19"/>
      <c r="AC14" s="16"/>
      <c r="AD14" s="16"/>
    </row>
    <row r="15" spans="1:54" ht="14.25" x14ac:dyDescent="0.2">
      <c r="C15" s="15" t="s">
        <v>201</v>
      </c>
      <c r="D15" s="15" t="s">
        <v>231</v>
      </c>
      <c r="F15" s="184">
        <v>2.6890000000000001</v>
      </c>
      <c r="G15" s="13" t="s">
        <v>237</v>
      </c>
      <c r="H15" s="449">
        <v>45393</v>
      </c>
      <c r="J15" s="13" t="s">
        <v>220</v>
      </c>
      <c r="K15" s="13"/>
      <c r="L15" s="13"/>
      <c r="M15" s="188">
        <f>42.8*F27</f>
        <v>11.898400000000001</v>
      </c>
      <c r="N15" s="164" t="s">
        <v>704</v>
      </c>
      <c r="O15" s="184">
        <v>0.80500000000000005</v>
      </c>
      <c r="P15" s="164" t="s">
        <v>701</v>
      </c>
      <c r="V15" s="13" t="s">
        <v>700</v>
      </c>
      <c r="X15" s="18"/>
      <c r="Y15" s="16"/>
      <c r="AA15" s="19"/>
      <c r="AC15" s="16"/>
      <c r="AD15" s="16"/>
    </row>
    <row r="16" spans="1:54" ht="14.25" x14ac:dyDescent="0.2">
      <c r="C16" s="15" t="s">
        <v>201</v>
      </c>
      <c r="D16" s="15" t="s">
        <v>236</v>
      </c>
      <c r="F16" s="184">
        <v>2.3479999999999999</v>
      </c>
      <c r="G16" s="13" t="s">
        <v>237</v>
      </c>
      <c r="H16" s="449">
        <v>45394</v>
      </c>
      <c r="J16" s="13" t="s">
        <v>220</v>
      </c>
      <c r="K16" s="13"/>
      <c r="L16" s="13"/>
      <c r="M16" s="188">
        <f>41.7*F27</f>
        <v>11.592600000000003</v>
      </c>
      <c r="N16" s="164" t="s">
        <v>704</v>
      </c>
      <c r="O16" s="184">
        <v>0.745</v>
      </c>
      <c r="P16" s="164" t="s">
        <v>701</v>
      </c>
      <c r="V16" s="13" t="s">
        <v>700</v>
      </c>
      <c r="X16" s="18"/>
      <c r="Y16" s="16"/>
      <c r="AA16" s="19"/>
      <c r="AC16" s="16"/>
      <c r="AD16" s="16"/>
    </row>
    <row r="17" spans="3:30" ht="14.25" x14ac:dyDescent="0.2">
      <c r="C17" s="15" t="s">
        <v>201</v>
      </c>
      <c r="D17" s="15" t="s">
        <v>232</v>
      </c>
      <c r="F17" s="184">
        <v>0</v>
      </c>
      <c r="G17" s="13" t="s">
        <v>150</v>
      </c>
      <c r="H17" s="449">
        <v>45395</v>
      </c>
      <c r="J17" s="13" t="s">
        <v>220</v>
      </c>
      <c r="K17" s="13"/>
      <c r="L17" s="13"/>
      <c r="X17" s="18"/>
      <c r="Y17" s="16"/>
      <c r="AA17" s="19"/>
      <c r="AC17" s="16"/>
      <c r="AD17" s="16"/>
    </row>
    <row r="18" spans="3:30" ht="14.25" x14ac:dyDescent="0.2">
      <c r="C18" s="15" t="s">
        <v>201</v>
      </c>
      <c r="D18" s="15" t="s">
        <v>233</v>
      </c>
      <c r="F18" s="184">
        <v>0.65500000000000003</v>
      </c>
      <c r="G18" s="13" t="s">
        <v>237</v>
      </c>
      <c r="H18" s="449">
        <v>45396</v>
      </c>
      <c r="J18" s="13" t="s">
        <v>220</v>
      </c>
      <c r="K18" s="13"/>
      <c r="L18" s="13"/>
      <c r="X18" s="18"/>
      <c r="Y18" s="16"/>
      <c r="AA18" s="19"/>
      <c r="AC18" s="16"/>
      <c r="AD18" s="16"/>
    </row>
    <row r="19" spans="3:30" ht="14.25" x14ac:dyDescent="0.2">
      <c r="C19" s="15" t="s">
        <v>201</v>
      </c>
      <c r="D19" s="15" t="s">
        <v>234</v>
      </c>
      <c r="F19" s="184">
        <v>0.75</v>
      </c>
      <c r="G19" s="13" t="s">
        <v>237</v>
      </c>
      <c r="H19" s="449">
        <v>45397</v>
      </c>
      <c r="J19" s="13" t="s">
        <v>220</v>
      </c>
      <c r="K19" s="13"/>
      <c r="L19" s="13"/>
      <c r="X19" s="18"/>
      <c r="Y19" s="16"/>
      <c r="AA19" s="19"/>
      <c r="AC19" s="16"/>
      <c r="AD19" s="16"/>
    </row>
    <row r="20" spans="3:30" ht="14.25" x14ac:dyDescent="0.2">
      <c r="C20" s="15" t="s">
        <v>201</v>
      </c>
      <c r="D20" s="15" t="s">
        <v>235</v>
      </c>
      <c r="F20" s="184">
        <v>0.93200000000000005</v>
      </c>
      <c r="G20" s="13" t="s">
        <v>150</v>
      </c>
      <c r="H20" s="449">
        <v>45398</v>
      </c>
      <c r="J20" s="13" t="s">
        <v>220</v>
      </c>
      <c r="K20" s="13"/>
      <c r="L20" s="13"/>
      <c r="X20" s="18"/>
      <c r="Y20" s="16"/>
      <c r="AA20" s="19"/>
      <c r="AC20" s="16"/>
      <c r="AD20" s="16"/>
    </row>
    <row r="21" spans="3:30" ht="14.25" x14ac:dyDescent="0.2">
      <c r="C21" s="15" t="s">
        <v>201</v>
      </c>
      <c r="D21" s="15" t="s">
        <v>272</v>
      </c>
      <c r="F21" s="186">
        <v>2.5539999999999998</v>
      </c>
      <c r="G21" s="13" t="s">
        <v>237</v>
      </c>
      <c r="H21" s="449">
        <v>45399</v>
      </c>
      <c r="I21" s="20">
        <f>F21+F22</f>
        <v>3.2319999999999998</v>
      </c>
      <c r="J21" s="13" t="s">
        <v>534</v>
      </c>
      <c r="K21" s="13"/>
      <c r="L21" s="13"/>
      <c r="X21" s="18"/>
      <c r="Y21" s="16"/>
      <c r="AA21" s="13"/>
      <c r="AC21" s="16"/>
      <c r="AD21" s="16"/>
    </row>
    <row r="22" spans="3:30" ht="14.25" x14ac:dyDescent="0.2">
      <c r="C22" s="15" t="s">
        <v>201</v>
      </c>
      <c r="D22" s="15" t="s">
        <v>273</v>
      </c>
      <c r="F22" s="184">
        <v>0.67800000000000005</v>
      </c>
      <c r="G22" s="13" t="s">
        <v>150</v>
      </c>
      <c r="H22" s="449">
        <v>45400</v>
      </c>
      <c r="J22" s="13" t="s">
        <v>276</v>
      </c>
      <c r="K22" s="13"/>
      <c r="L22" s="13"/>
      <c r="X22" s="18"/>
      <c r="Y22" s="16"/>
      <c r="AA22" s="13"/>
      <c r="AC22" s="16"/>
      <c r="AD22" s="16"/>
    </row>
    <row r="23" spans="3:30" ht="14.25" x14ac:dyDescent="0.2">
      <c r="C23" s="15" t="s">
        <v>201</v>
      </c>
      <c r="D23" s="15" t="s">
        <v>274</v>
      </c>
      <c r="F23" s="186">
        <v>2.5539999999999998</v>
      </c>
      <c r="G23" s="13" t="s">
        <v>237</v>
      </c>
      <c r="H23" s="449">
        <v>45401</v>
      </c>
      <c r="I23" s="20">
        <f>F23+F24</f>
        <v>3.2319999999999998</v>
      </c>
      <c r="J23" s="13" t="s">
        <v>534</v>
      </c>
      <c r="K23" s="13"/>
      <c r="L23" s="13"/>
      <c r="X23" s="18"/>
      <c r="Y23" s="16"/>
      <c r="AA23" s="13"/>
      <c r="AC23" s="16"/>
      <c r="AD23" s="16"/>
    </row>
    <row r="24" spans="3:30" ht="14.25" x14ac:dyDescent="0.2">
      <c r="C24" s="15" t="s">
        <v>201</v>
      </c>
      <c r="D24" s="15" t="s">
        <v>275</v>
      </c>
      <c r="F24" s="184">
        <v>0.67800000000000005</v>
      </c>
      <c r="G24" s="13" t="s">
        <v>237</v>
      </c>
      <c r="H24" s="449">
        <v>45402</v>
      </c>
      <c r="J24" s="13" t="s">
        <v>562</v>
      </c>
      <c r="K24" s="13"/>
      <c r="L24" s="13"/>
      <c r="X24" s="18"/>
      <c r="Y24" s="16"/>
      <c r="AA24" s="13"/>
      <c r="AC24" s="16"/>
      <c r="AD24" s="16"/>
    </row>
    <row r="25" spans="3:30" ht="14.25" x14ac:dyDescent="0.2">
      <c r="C25" s="15" t="s">
        <v>201</v>
      </c>
      <c r="D25" s="15" t="s">
        <v>280</v>
      </c>
      <c r="F25" s="184">
        <v>0</v>
      </c>
      <c r="G25" s="13" t="s">
        <v>200</v>
      </c>
      <c r="H25" s="449">
        <v>45403</v>
      </c>
      <c r="J25" s="13" t="s">
        <v>467</v>
      </c>
      <c r="K25" s="13"/>
      <c r="L25" s="13"/>
      <c r="X25" s="18"/>
      <c r="Y25" s="16"/>
      <c r="AA25" s="13"/>
      <c r="AC25" s="16"/>
      <c r="AD25" s="16"/>
    </row>
    <row r="26" spans="3:30" ht="14.25" x14ac:dyDescent="0.2">
      <c r="C26" s="15" t="s">
        <v>201</v>
      </c>
      <c r="D26" s="15" t="s">
        <v>281</v>
      </c>
      <c r="F26" s="184">
        <v>0</v>
      </c>
      <c r="G26" s="13" t="s">
        <v>150</v>
      </c>
      <c r="H26" s="449">
        <v>45404</v>
      </c>
      <c r="J26" s="13" t="s">
        <v>468</v>
      </c>
      <c r="K26" s="13"/>
      <c r="L26" s="13"/>
      <c r="X26" s="18"/>
      <c r="Y26" s="16"/>
      <c r="AA26" s="13"/>
      <c r="AC26" s="16"/>
      <c r="AD26" s="16"/>
    </row>
    <row r="27" spans="3:30" ht="14.25" x14ac:dyDescent="0.2">
      <c r="C27" s="15" t="s">
        <v>201</v>
      </c>
      <c r="D27" s="15" t="s">
        <v>702</v>
      </c>
      <c r="F27" s="184">
        <v>0.27800000000000002</v>
      </c>
      <c r="G27" s="13" t="s">
        <v>703</v>
      </c>
      <c r="H27" s="449">
        <v>45405</v>
      </c>
      <c r="J27" s="13"/>
      <c r="K27" s="13"/>
      <c r="L27" s="13"/>
      <c r="X27" s="18"/>
      <c r="Y27" s="16"/>
      <c r="AA27" s="13"/>
      <c r="AC27" s="16"/>
      <c r="AD27" s="16"/>
    </row>
    <row r="28" spans="3:30" ht="13.9" customHeight="1" x14ac:dyDescent="0.2">
      <c r="K28" s="18"/>
      <c r="X28" s="18"/>
      <c r="Y28" s="16"/>
      <c r="AA28" s="13"/>
      <c r="AC28" s="16"/>
      <c r="AD28" s="16"/>
    </row>
    <row r="29" spans="3:30" ht="42.75" x14ac:dyDescent="0.2">
      <c r="C29" s="15" t="s">
        <v>170</v>
      </c>
      <c r="D29" s="15" t="s">
        <v>208</v>
      </c>
      <c r="F29" s="20">
        <f>M29*K29</f>
        <v>0.22753333333333334</v>
      </c>
      <c r="G29" s="13" t="s">
        <v>209</v>
      </c>
      <c r="H29" s="449">
        <v>45405</v>
      </c>
      <c r="J29" s="18" t="s">
        <v>564</v>
      </c>
      <c r="K29" s="186">
        <f>0.007/1.05</f>
        <v>6.6666666666666662E-3</v>
      </c>
      <c r="L29" s="18" t="s">
        <v>178</v>
      </c>
      <c r="M29" s="187">
        <v>34.130000000000003</v>
      </c>
      <c r="V29" s="13" t="s">
        <v>469</v>
      </c>
    </row>
    <row r="30" spans="3:30" ht="13.9" customHeight="1" x14ac:dyDescent="0.2">
      <c r="C30" s="15" t="s">
        <v>170</v>
      </c>
      <c r="D30" s="15" t="s">
        <v>470</v>
      </c>
      <c r="F30" s="188">
        <f>1500*1.05*0.006</f>
        <v>9.4500000000000011</v>
      </c>
      <c r="G30" s="13" t="s">
        <v>209</v>
      </c>
      <c r="H30" s="449">
        <v>45405</v>
      </c>
      <c r="V30" s="13" t="s">
        <v>510</v>
      </c>
    </row>
    <row r="31" spans="3:30" ht="13.9" customHeight="1" x14ac:dyDescent="0.2">
      <c r="C31" s="15" t="s">
        <v>170</v>
      </c>
      <c r="D31" s="15" t="s">
        <v>509</v>
      </c>
      <c r="F31" s="185">
        <f>(0.005+0.006+0.2+0.004+0.002+0.02)/7*1000</f>
        <v>33.857142857142854</v>
      </c>
      <c r="G31" s="13" t="s">
        <v>248</v>
      </c>
      <c r="H31" s="449">
        <v>45405</v>
      </c>
      <c r="V31" s="13" t="s">
        <v>511</v>
      </c>
    </row>
    <row r="32" spans="3:30" ht="13.9" customHeight="1" x14ac:dyDescent="0.2">
      <c r="C32" s="15" t="s">
        <v>211</v>
      </c>
      <c r="D32" s="15" t="s">
        <v>210</v>
      </c>
      <c r="F32" s="188">
        <f>K32*1000*M32</f>
        <v>9.4500000000000011</v>
      </c>
      <c r="G32" s="13" t="s">
        <v>248</v>
      </c>
      <c r="H32" s="449">
        <v>45405</v>
      </c>
      <c r="J32" s="18" t="s">
        <v>213</v>
      </c>
      <c r="K32" s="184">
        <v>6.0000000000000001E-3</v>
      </c>
      <c r="L32" s="18" t="s">
        <v>214</v>
      </c>
      <c r="M32" s="188">
        <f>1.5*1.05</f>
        <v>1.5750000000000002</v>
      </c>
      <c r="V32" s="13" t="s">
        <v>105</v>
      </c>
      <c r="Y32" s="13" t="s">
        <v>212</v>
      </c>
    </row>
    <row r="34" spans="3:18" ht="14.25" x14ac:dyDescent="0.2">
      <c r="C34" s="15" t="s">
        <v>277</v>
      </c>
      <c r="D34" s="15" t="s">
        <v>12</v>
      </c>
      <c r="F34" s="186">
        <v>0.3</v>
      </c>
      <c r="H34" s="449">
        <v>45405</v>
      </c>
      <c r="I34" s="15"/>
      <c r="J34" s="9" t="s">
        <v>793</v>
      </c>
      <c r="K34" s="15"/>
      <c r="M34" s="15"/>
      <c r="P34" s="13" t="s">
        <v>706</v>
      </c>
    </row>
    <row r="35" spans="3:18" ht="13.9" customHeight="1" x14ac:dyDescent="0.2">
      <c r="C35" s="15" t="s">
        <v>277</v>
      </c>
      <c r="D35" s="15" t="s">
        <v>278</v>
      </c>
      <c r="F35" s="186">
        <v>0.3</v>
      </c>
      <c r="H35" s="449">
        <v>45405</v>
      </c>
      <c r="J35" s="19" t="s">
        <v>794</v>
      </c>
      <c r="P35" s="164" t="s">
        <v>449</v>
      </c>
    </row>
    <row r="36" spans="3:18" ht="13.9" customHeight="1" x14ac:dyDescent="0.2">
      <c r="C36" s="15" t="s">
        <v>277</v>
      </c>
      <c r="D36" s="15" t="s">
        <v>487</v>
      </c>
      <c r="F36" s="186">
        <v>0.4</v>
      </c>
      <c r="H36" s="449">
        <v>45405</v>
      </c>
      <c r="J36" s="19" t="s">
        <v>794</v>
      </c>
      <c r="P36" s="164" t="s">
        <v>449</v>
      </c>
    </row>
    <row r="37" spans="3:18" ht="13.9" customHeight="1" x14ac:dyDescent="0.2">
      <c r="C37" s="15" t="s">
        <v>447</v>
      </c>
      <c r="D37" s="15" t="s">
        <v>448</v>
      </c>
      <c r="F37" s="16">
        <v>0.7</v>
      </c>
      <c r="G37" s="13" t="s">
        <v>381</v>
      </c>
      <c r="H37" s="449">
        <v>45405</v>
      </c>
      <c r="J37" s="176" t="s">
        <v>450</v>
      </c>
    </row>
    <row r="39" spans="3:18" ht="13.9" customHeight="1" x14ac:dyDescent="0.2">
      <c r="C39" s="435" t="s">
        <v>741</v>
      </c>
    </row>
    <row r="40" spans="3:18" ht="42.75" x14ac:dyDescent="0.2">
      <c r="C40" s="15" t="s">
        <v>452</v>
      </c>
      <c r="D40" s="15" t="s">
        <v>223</v>
      </c>
      <c r="E40" s="275">
        <v>1</v>
      </c>
      <c r="H40" s="449">
        <v>45405</v>
      </c>
      <c r="J40" s="13" t="s">
        <v>795</v>
      </c>
      <c r="N40" s="18" t="s">
        <v>796</v>
      </c>
      <c r="O40" s="185">
        <f>47.9*F45</f>
        <v>479</v>
      </c>
      <c r="P40" s="18" t="s">
        <v>453</v>
      </c>
      <c r="Q40" s="20">
        <f>F15+F18</f>
        <v>3.3440000000000003</v>
      </c>
      <c r="R40" s="13"/>
    </row>
    <row r="41" spans="3:18" ht="42.75" x14ac:dyDescent="0.2">
      <c r="C41" s="15" t="s">
        <v>452</v>
      </c>
      <c r="D41" s="15" t="s">
        <v>222</v>
      </c>
      <c r="E41" s="275">
        <f>MROUND(Q41/$Q$40,0.01)</f>
        <v>0.93</v>
      </c>
      <c r="H41" s="449">
        <v>45405</v>
      </c>
      <c r="J41" s="164" t="s">
        <v>797</v>
      </c>
      <c r="N41" s="18" t="s">
        <v>796</v>
      </c>
      <c r="O41" s="185">
        <f>O40</f>
        <v>479</v>
      </c>
      <c r="P41" s="18" t="s">
        <v>453</v>
      </c>
      <c r="Q41" s="20">
        <f>(F16+F19)*(O41/O40)</f>
        <v>3.0979999999999999</v>
      </c>
      <c r="R41" s="13"/>
    </row>
    <row r="42" spans="3:18" ht="42.75" x14ac:dyDescent="0.2">
      <c r="C42" s="15" t="s">
        <v>452</v>
      </c>
      <c r="D42" s="15" t="s">
        <v>454</v>
      </c>
      <c r="E42" s="275">
        <f>MROUND(Q42/$Q$40,0.01)</f>
        <v>0.35000000000000003</v>
      </c>
      <c r="H42" s="449">
        <v>45405</v>
      </c>
      <c r="J42" s="13" t="s">
        <v>795</v>
      </c>
      <c r="N42" s="18" t="s">
        <v>796</v>
      </c>
      <c r="O42" s="185">
        <f>43.1*F47</f>
        <v>599.09</v>
      </c>
      <c r="P42" s="18" t="s">
        <v>453</v>
      </c>
      <c r="Q42" s="20">
        <f>(F17+F20)*(O42/O40)</f>
        <v>1.1656615448851777</v>
      </c>
      <c r="R42" s="13"/>
    </row>
    <row r="43" spans="3:18" ht="42.75" x14ac:dyDescent="0.2">
      <c r="C43" s="15" t="s">
        <v>452</v>
      </c>
      <c r="D43" s="15" t="s">
        <v>202</v>
      </c>
      <c r="E43" s="275">
        <f>MROUND(Q43/$Q$40,0.01)</f>
        <v>0.01</v>
      </c>
      <c r="H43" s="449">
        <v>45405</v>
      </c>
      <c r="J43" s="13" t="s">
        <v>795</v>
      </c>
      <c r="N43" s="18" t="s">
        <v>796</v>
      </c>
      <c r="O43" s="185">
        <v>197</v>
      </c>
      <c r="P43" s="18" t="s">
        <v>453</v>
      </c>
      <c r="Q43" s="20">
        <f>(F11/1000+F13/1000)*(O43/O40)</f>
        <v>3.125678496868476E-2</v>
      </c>
      <c r="R43" s="13"/>
    </row>
    <row r="45" spans="3:18" ht="13.9" customHeight="1" x14ac:dyDescent="0.2">
      <c r="C45" s="15" t="s">
        <v>791</v>
      </c>
      <c r="D45" s="15" t="s">
        <v>223</v>
      </c>
      <c r="F45" s="188">
        <v>10</v>
      </c>
      <c r="G45" s="13" t="s">
        <v>789</v>
      </c>
      <c r="H45" s="449">
        <v>45405</v>
      </c>
      <c r="J45" s="447" t="s">
        <v>790</v>
      </c>
    </row>
    <row r="46" spans="3:18" ht="13.9" customHeight="1" x14ac:dyDescent="0.2">
      <c r="C46" s="15" t="s">
        <v>791</v>
      </c>
      <c r="D46" s="15" t="s">
        <v>222</v>
      </c>
      <c r="F46" s="188">
        <v>8.9</v>
      </c>
      <c r="G46" s="13" t="s">
        <v>789</v>
      </c>
      <c r="H46" s="449">
        <v>45405</v>
      </c>
      <c r="J46" s="447" t="s">
        <v>790</v>
      </c>
    </row>
    <row r="47" spans="3:18" ht="13.9" customHeight="1" x14ac:dyDescent="0.2">
      <c r="C47" s="15" t="s">
        <v>791</v>
      </c>
      <c r="D47" s="15" t="s">
        <v>454</v>
      </c>
      <c r="F47" s="188">
        <v>13.9</v>
      </c>
      <c r="G47" s="13" t="s">
        <v>704</v>
      </c>
      <c r="H47" s="449">
        <v>45405</v>
      </c>
      <c r="J47" s="447" t="s">
        <v>790</v>
      </c>
    </row>
  </sheetData>
  <hyperlinks>
    <hyperlink ref="J37" r:id="rId1" xr:uid="{A7927AFB-7020-46B7-97D9-67AA24FCD869}"/>
    <hyperlink ref="J5" r:id="rId2" display="Lähde: LUKE/Puuston keskitilavuus metsämaalla koko maassa" xr:uid="{4BDC1A39-B6A0-4EBC-9CAE-F83E9FDDA04E}"/>
    <hyperlink ref="J10" r:id="rId3" display="Lähde: Fingrid/vuosi 2022" xr:uid="{8DE46A1D-DB7B-490C-AC56-6A642890F9F0}"/>
    <hyperlink ref="J11" r:id="rId4" display="Lähde: Fingrid/vuosi 2022" xr:uid="{D2A8B653-1E05-4155-8CEC-972F2E0D4D12}"/>
    <hyperlink ref="J12" r:id="rId5" display="Lähde: Energiavirasto/vuosi 2022" xr:uid="{BAC73DDB-0197-4D3B-A1E7-E0D30151A3A1}"/>
    <hyperlink ref="J13" r:id="rId6" display="Lähde: Autokalkulaattori" xr:uid="{96E14623-BE3B-4024-823A-D2DFB697EBB9}"/>
    <hyperlink ref="J35" r:id="rId7" xr:uid="{C4749CFA-FD41-45DF-BC5F-35AF221173F5}"/>
    <hyperlink ref="J36" r:id="rId8" xr:uid="{DF8F5CBA-5B28-419C-843B-CE64E05306CB}"/>
  </hyperlinks>
  <pageMargins left="0.70866141732283472" right="0.70866141732283472" top="0.74803149606299213" bottom="0.74803149606299213" header="0.31496062992125984" footer="0.31496062992125984"/>
  <pageSetup paperSize="8" scale="75" orientation="landscape" verticalDpi="0" r:id="rId9"/>
  <headerFooter>
    <oddHeader>&amp;L&amp;"-,Lihavoitu"&amp;12PIIP-laskentatyökalu&amp;RKertoimet: Muut
Sivu &amp;P/&amp;N</oddHeader>
    <oddFooter>&amp;L&amp;G&amp;R&amp;G</oddFooter>
  </headerFooter>
  <colBreaks count="1" manualBreakCount="1">
    <brk id="15" max="1048575" man="1"/>
  </colBreaks>
  <legacyDrawingHF r:id="rId1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187B7-207E-43B6-8D07-7851EDA9F544}">
  <sheetPr codeName="Sheet13">
    <tabColor theme="0" tint="-0.34998626667073579"/>
  </sheetPr>
  <dimension ref="A1:Z106"/>
  <sheetViews>
    <sheetView workbookViewId="0">
      <selection activeCell="C3" sqref="C3"/>
    </sheetView>
  </sheetViews>
  <sheetFormatPr defaultRowHeight="14.25" x14ac:dyDescent="0.2"/>
  <cols>
    <col min="1" max="1" width="2.75" customWidth="1"/>
    <col min="4" max="4" width="51.125" bestFit="1" customWidth="1"/>
    <col min="6" max="6" width="24.625" customWidth="1"/>
    <col min="7" max="7" width="13.875" customWidth="1"/>
    <col min="8" max="8" width="25.75" customWidth="1"/>
    <col min="9" max="9" width="14.375" customWidth="1"/>
    <col min="10" max="10" width="25.75" customWidth="1"/>
    <col min="11" max="11" width="14.375" customWidth="1"/>
    <col min="12" max="12" width="25.75" customWidth="1"/>
    <col min="13" max="13" width="14.375" customWidth="1"/>
    <col min="14" max="14" width="25.75" customWidth="1"/>
    <col min="15" max="15" width="14.375" customWidth="1"/>
    <col min="16" max="16" width="25.75" customWidth="1"/>
    <col min="17" max="17" width="14.375" customWidth="1"/>
    <col min="18" max="18" width="13.75" bestFit="1" customWidth="1"/>
    <col min="20" max="20" width="10.125" bestFit="1" customWidth="1"/>
    <col min="22" max="22" width="18" bestFit="1" customWidth="1"/>
    <col min="24" max="24" width="18" bestFit="1" customWidth="1"/>
    <col min="26" max="26" width="13.25" bestFit="1" customWidth="1"/>
  </cols>
  <sheetData>
    <row r="1" spans="1:26" s="81" customFormat="1" ht="15" x14ac:dyDescent="0.2">
      <c r="A1" s="30"/>
      <c r="B1" s="30"/>
      <c r="C1" s="33"/>
      <c r="E1" s="30"/>
      <c r="F1" s="30"/>
      <c r="G1" s="33"/>
      <c r="I1" s="30"/>
      <c r="J1" s="32"/>
      <c r="K1" s="33"/>
      <c r="L1" s="33"/>
    </row>
    <row r="2" spans="1:26" s="82" customFormat="1" ht="30" x14ac:dyDescent="0.2">
      <c r="A2" s="24"/>
      <c r="B2" s="7" t="s">
        <v>563</v>
      </c>
      <c r="C2" s="26"/>
      <c r="E2" s="24"/>
      <c r="F2" s="24"/>
      <c r="G2" s="26"/>
      <c r="I2" s="24"/>
      <c r="J2" s="25"/>
      <c r="K2" s="26"/>
      <c r="L2" s="26"/>
    </row>
    <row r="3" spans="1:26" ht="15" x14ac:dyDescent="0.25">
      <c r="B3" s="11" t="s">
        <v>110</v>
      </c>
      <c r="D3" s="11" t="s">
        <v>46</v>
      </c>
      <c r="F3" s="11" t="s">
        <v>108</v>
      </c>
      <c r="H3" s="11" t="s">
        <v>108</v>
      </c>
      <c r="J3" s="11" t="s">
        <v>309</v>
      </c>
      <c r="L3" s="11" t="s">
        <v>50</v>
      </c>
      <c r="N3" s="11" t="s">
        <v>739</v>
      </c>
      <c r="P3" s="11" t="s">
        <v>263</v>
      </c>
      <c r="R3" s="11" t="s">
        <v>738</v>
      </c>
      <c r="T3" s="11" t="s">
        <v>267</v>
      </c>
      <c r="V3" s="11" t="s">
        <v>309</v>
      </c>
      <c r="X3" s="11" t="s">
        <v>489</v>
      </c>
      <c r="Z3" s="11" t="s">
        <v>265</v>
      </c>
    </row>
    <row r="4" spans="1:26" x14ac:dyDescent="0.2">
      <c r="B4" s="10" t="s">
        <v>6</v>
      </c>
      <c r="D4" s="10" t="s">
        <v>47</v>
      </c>
      <c r="F4" t="s">
        <v>621</v>
      </c>
      <c r="H4" s="10" t="s">
        <v>622</v>
      </c>
      <c r="J4" s="313" t="s">
        <v>223</v>
      </c>
      <c r="L4" s="313" t="s">
        <v>252</v>
      </c>
      <c r="N4" s="10" t="s">
        <v>253</v>
      </c>
      <c r="P4" s="10" t="s">
        <v>264</v>
      </c>
      <c r="R4" s="10" t="s">
        <v>282</v>
      </c>
      <c r="T4" s="10" t="s">
        <v>268</v>
      </c>
      <c r="V4" s="313" t="s">
        <v>223</v>
      </c>
      <c r="X4" s="313" t="s">
        <v>264</v>
      </c>
      <c r="Z4" s="10" t="s">
        <v>282</v>
      </c>
    </row>
    <row r="5" spans="1:26" x14ac:dyDescent="0.2">
      <c r="B5" s="10" t="s">
        <v>7</v>
      </c>
      <c r="D5" s="10" t="s">
        <v>48</v>
      </c>
      <c r="F5" t="s">
        <v>623</v>
      </c>
      <c r="H5" s="10" t="s">
        <v>624</v>
      </c>
      <c r="J5" s="313" t="s">
        <v>222</v>
      </c>
      <c r="L5" s="313" t="s">
        <v>251</v>
      </c>
      <c r="N5" s="10" t="s">
        <v>259</v>
      </c>
      <c r="P5" s="10" t="s">
        <v>251</v>
      </c>
      <c r="R5" s="10" t="s">
        <v>12</v>
      </c>
      <c r="T5" s="10" t="s">
        <v>269</v>
      </c>
      <c r="V5" s="313" t="s">
        <v>222</v>
      </c>
      <c r="X5" s="313" t="s">
        <v>490</v>
      </c>
      <c r="Z5" s="10" t="s">
        <v>279</v>
      </c>
    </row>
    <row r="6" spans="1:26" x14ac:dyDescent="0.2">
      <c r="D6" s="10" t="s">
        <v>49</v>
      </c>
      <c r="F6" s="10" t="s">
        <v>625</v>
      </c>
      <c r="H6" s="10" t="s">
        <v>9</v>
      </c>
      <c r="J6" s="313" t="s">
        <v>228</v>
      </c>
      <c r="L6" s="313" t="s">
        <v>284</v>
      </c>
      <c r="N6" s="10" t="s">
        <v>254</v>
      </c>
      <c r="P6" s="10" t="s">
        <v>626</v>
      </c>
      <c r="R6" s="10" t="s">
        <v>279</v>
      </c>
      <c r="T6" s="10" t="s">
        <v>270</v>
      </c>
      <c r="V6" s="313" t="s">
        <v>454</v>
      </c>
      <c r="X6" s="313"/>
      <c r="Z6" s="10" t="s">
        <v>222</v>
      </c>
    </row>
    <row r="7" spans="1:26" x14ac:dyDescent="0.2">
      <c r="F7" s="10" t="s">
        <v>52</v>
      </c>
      <c r="H7" s="10" t="s">
        <v>148</v>
      </c>
      <c r="J7" s="313" t="s">
        <v>229</v>
      </c>
      <c r="L7" s="313" t="s">
        <v>285</v>
      </c>
      <c r="N7" s="10" t="s">
        <v>255</v>
      </c>
      <c r="R7" s="10" t="s">
        <v>222</v>
      </c>
      <c r="T7" s="10" t="s">
        <v>271</v>
      </c>
      <c r="V7" s="313" t="s">
        <v>202</v>
      </c>
      <c r="X7" s="313"/>
      <c r="Z7" s="10" t="s">
        <v>223</v>
      </c>
    </row>
    <row r="8" spans="1:26" x14ac:dyDescent="0.2">
      <c r="H8" s="10" t="s">
        <v>51</v>
      </c>
      <c r="J8" s="313" t="s">
        <v>230</v>
      </c>
      <c r="L8" s="313" t="s">
        <v>627</v>
      </c>
      <c r="R8" s="10" t="s">
        <v>223</v>
      </c>
      <c r="V8" s="313"/>
    </row>
    <row r="9" spans="1:26" x14ac:dyDescent="0.2">
      <c r="J9" s="313" t="s">
        <v>202</v>
      </c>
      <c r="V9" s="313"/>
    </row>
    <row r="10" spans="1:26" x14ac:dyDescent="0.2">
      <c r="J10" s="15"/>
      <c r="V10" s="313"/>
    </row>
    <row r="11" spans="1:26" x14ac:dyDescent="0.2">
      <c r="L11" s="15"/>
    </row>
    <row r="12" spans="1:26" ht="15" x14ac:dyDescent="0.25">
      <c r="F12" s="3" t="s">
        <v>608</v>
      </c>
      <c r="H12" s="3" t="s">
        <v>586</v>
      </c>
      <c r="I12" s="3"/>
      <c r="J12" s="3" t="s">
        <v>734</v>
      </c>
      <c r="K12" s="3"/>
      <c r="L12" s="3" t="s">
        <v>57</v>
      </c>
      <c r="M12" s="3"/>
      <c r="N12" s="3" t="s">
        <v>388</v>
      </c>
      <c r="O12" s="3"/>
      <c r="P12" s="3" t="s">
        <v>378</v>
      </c>
      <c r="Q12" s="3"/>
    </row>
    <row r="14" spans="1:26" ht="15" x14ac:dyDescent="0.25">
      <c r="D14" s="11" t="s">
        <v>298</v>
      </c>
      <c r="F14" s="110" t="s">
        <v>110</v>
      </c>
      <c r="H14" s="110" t="s">
        <v>110</v>
      </c>
      <c r="J14" s="110" t="s">
        <v>110</v>
      </c>
      <c r="L14" s="110" t="s">
        <v>110</v>
      </c>
      <c r="N14" s="110" t="s">
        <v>110</v>
      </c>
      <c r="P14" s="110" t="s">
        <v>110</v>
      </c>
    </row>
    <row r="15" spans="1:26" x14ac:dyDescent="0.2">
      <c r="D15" s="10" t="s">
        <v>299</v>
      </c>
      <c r="F15" s="111" t="str">
        <f>IF(ISBLANK(Materiaalit!C20),"",Materiaalit!C20)</f>
        <v>Suodatinkangas</v>
      </c>
      <c r="G15" s="111" t="str">
        <f>IF(ISBLANK(Materiaalit!D20),"",Materiaalit!D20)</f>
        <v>m2</v>
      </c>
      <c r="H15" s="111" t="str">
        <f>IF(ISBLANK(Materiaalit!C33),"",Materiaalit!C33)</f>
        <v>Sementti</v>
      </c>
      <c r="I15" s="111" t="str">
        <f>IF(ISBLANK(Materiaalit!D33),"",Materiaalit!D33)</f>
        <v>kg</v>
      </c>
      <c r="J15" s="111" t="str">
        <f>IF(ISBLANK(Materiaalit!C48),"",Materiaalit!C48)</f>
        <v>Muoviputket</v>
      </c>
      <c r="K15" s="111" t="str">
        <f>IF(ISBLANK(Materiaalit!D48),"",Materiaalit!D48)</f>
        <v>m</v>
      </c>
      <c r="L15" s="111" t="str">
        <f>IF(ISBLANK(Materiaalit!C68),"",Materiaalit!C68)</f>
        <v>Muoviputket</v>
      </c>
      <c r="M15" s="111" t="str">
        <f>IF(ISBLANK(Materiaalit!D68),"",Materiaalit!D68)</f>
        <v>m</v>
      </c>
      <c r="N15" s="111" t="str">
        <f>IF(ISBLANK(Materiaalit!C87),"",Materiaalit!C87)</f>
        <v>Muoviputket</v>
      </c>
      <c r="O15" s="111" t="str">
        <f>IF(ISBLANK(Materiaalit!D87),"",Materiaalit!D87)</f>
        <v>m</v>
      </c>
      <c r="P15" s="111" t="str">
        <f>IF(ISBLANK(Materiaalit!C106),"",Materiaalit!C106)</f>
        <v>Muoviputket</v>
      </c>
      <c r="Q15" s="111" t="str">
        <f>IF(ISBLANK(Materiaalit!D106),"",Materiaalit!D106)</f>
        <v>m</v>
      </c>
      <c r="S15" s="321"/>
    </row>
    <row r="16" spans="1:26" x14ac:dyDescent="0.2">
      <c r="D16" s="10" t="str">
        <f>IF(ISBLANK(Kalusto!C45),"",Kalusto!C45)</f>
        <v xml:space="preserve">Jakelukuorma-auto, 6 t, 20 % kuorma, maantieajo  </v>
      </c>
      <c r="F16" s="111" t="str">
        <f>IF(ISBLANK(Materiaalit!C21),"",Materiaalit!C21)</f>
        <v>Bentoniittimatto</v>
      </c>
      <c r="G16" s="111" t="str">
        <f>IF(ISBLANK(Materiaalit!D21),"",Materiaalit!D21)</f>
        <v>m2</v>
      </c>
      <c r="H16" s="111" t="str">
        <f>IF(ISBLANK(Materiaalit!C34),"",Materiaalit!C34)</f>
        <v>Bentoniitti</v>
      </c>
      <c r="I16" s="111" t="str">
        <f>IF(ISBLANK(Materiaalit!D34),"",Materiaalit!D34)</f>
        <v>kg</v>
      </c>
      <c r="J16" s="111" t="str">
        <f>IF(ISBLANK(Materiaalit!C49),"",Materiaalit!C49)</f>
        <v>Suodatinkangas</v>
      </c>
      <c r="K16" s="111" t="str">
        <f>IF(ISBLANK(Materiaalit!D49),"",Materiaalit!D49)</f>
        <v>m2</v>
      </c>
      <c r="L16" s="111" t="str">
        <f>IF(ISBLANK(Materiaalit!C69),"",Materiaalit!C69)</f>
        <v>Suodatinkangas</v>
      </c>
      <c r="M16" s="111" t="str">
        <f>IF(ISBLANK(Materiaalit!D69),"",Materiaalit!D69)</f>
        <v>m2</v>
      </c>
      <c r="N16" s="111" t="str">
        <f>IF(ISBLANK(Materiaalit!C88),"",Materiaalit!C88)</f>
        <v>Suodatinkangas</v>
      </c>
      <c r="O16" s="111" t="str">
        <f>IF(ISBLANK(Materiaalit!D88),"",Materiaalit!D88)</f>
        <v>m2</v>
      </c>
      <c r="P16" s="111" t="str">
        <f>IF(ISBLANK(Materiaalit!C107),"",Materiaalit!C107)</f>
        <v>Suodatinkangas</v>
      </c>
      <c r="Q16" s="111" t="str">
        <f>IF(ISBLANK(Materiaalit!D107),"",Materiaalit!D107)</f>
        <v>m2</v>
      </c>
      <c r="S16" s="321"/>
    </row>
    <row r="17" spans="4:19" x14ac:dyDescent="0.2">
      <c r="D17" s="10" t="str">
        <f>IF(ISBLANK(Kalusto!C46),"",Kalusto!C46)</f>
        <v>Jakelukuorma-auto, 6 t, 20 % kuorma, kaupunkiajo</v>
      </c>
      <c r="F17" s="111" t="str">
        <f>IF(ISBLANK(Materiaalit!C22),"",Materiaalit!C22)</f>
        <v>HDPE-kalvo</v>
      </c>
      <c r="G17" s="111" t="str">
        <f>IF(ISBLANK(Materiaalit!D22),"",Materiaalit!D22)</f>
        <v>m2</v>
      </c>
      <c r="H17" s="111" t="str">
        <f>IF(ISBLANK(Materiaalit!C35),"",Materiaalit!C35)</f>
        <v>Savi</v>
      </c>
      <c r="I17" s="111" t="str">
        <f>IF(ISBLANK(Materiaalit!D35),"",Materiaalit!D35)</f>
        <v>kg</v>
      </c>
      <c r="J17" s="111" t="str">
        <f>IF(ISBLANK(Materiaalit!C50),"",Materiaalit!C50)</f>
        <v>Salaojasora</v>
      </c>
      <c r="K17" s="111" t="str">
        <f>IF(ISBLANK(Materiaalit!D50),"",Materiaalit!D50)</f>
        <v>kg</v>
      </c>
      <c r="L17" s="111" t="str">
        <f>IF(ISBLANK(Materiaalit!C70),"",Materiaalit!C70)</f>
        <v>Salaojasora</v>
      </c>
      <c r="M17" s="111" t="str">
        <f>IF(ISBLANK(Materiaalit!D70),"",Materiaalit!D70)</f>
        <v>kg</v>
      </c>
      <c r="N17" s="111" t="str">
        <f>IF(ISBLANK(Materiaalit!C89),"",Materiaalit!C89)</f>
        <v>Salaojasora</v>
      </c>
      <c r="O17" s="111" t="str">
        <f>IF(ISBLANK(Materiaalit!D89),"",Materiaalit!D89)</f>
        <v>kg</v>
      </c>
      <c r="P17" s="111" t="str">
        <f>IF(ISBLANK(Materiaalit!C108),"",Materiaalit!C108)</f>
        <v>Huomioverkko</v>
      </c>
      <c r="Q17" s="111" t="str">
        <f>IF(ISBLANK(Materiaalit!D108),"",Materiaalit!D108)</f>
        <v>m2</v>
      </c>
      <c r="S17" s="321"/>
    </row>
    <row r="18" spans="4:19" x14ac:dyDescent="0.2">
      <c r="D18" s="10" t="str">
        <f>IF(ISBLANK(Kalusto!C47),"",Kalusto!C47)</f>
        <v>Jakelukuorma-auto, 6 t, 50 % kuorma, maantieajo</v>
      </c>
      <c r="F18" s="111" t="str">
        <f>IF(ISBLANK(Materiaalit!C23),"",Materiaalit!C23)</f>
        <v>Salaojasora</v>
      </c>
      <c r="G18" s="111" t="str">
        <f>IF(ISBLANK(Materiaalit!D23),"",Materiaalit!D23)</f>
        <v>kg</v>
      </c>
      <c r="H18" s="111" t="str">
        <f>IF(ISBLANK(Materiaalit!C36),"",Materiaalit!C36)</f>
        <v>Geomembraani</v>
      </c>
      <c r="I18" s="111" t="str">
        <f>IF(ISBLANK(Materiaalit!D36),"",Materiaalit!D36)</f>
        <v>m2</v>
      </c>
      <c r="J18" s="111" t="str">
        <f>IF(ISBLANK(Materiaalit!C51),"",Materiaalit!C51)</f>
        <v>Pontit</v>
      </c>
      <c r="K18" s="111" t="str">
        <f>IF(ISBLANK(Materiaalit!D51),"",Materiaalit!D51)</f>
        <v>kg</v>
      </c>
      <c r="L18" s="111" t="str">
        <f>IF(ISBLANK(Materiaalit!C71),"",Materiaalit!C71)</f>
        <v>Pontit</v>
      </c>
      <c r="M18" s="111" t="str">
        <f>IF(ISBLANK(Materiaalit!D71),"",Materiaalit!D71)</f>
        <v>kg</v>
      </c>
      <c r="N18" s="111" t="str">
        <f>IF(ISBLANK(Materiaalit!C90),"",Materiaalit!C90)</f>
        <v>Pontit</v>
      </c>
      <c r="O18" s="111" t="str">
        <f>IF(ISBLANK(Materiaalit!D90),"",Materiaalit!D90)</f>
        <v>kg</v>
      </c>
      <c r="P18" s="111" t="str">
        <f>IF(ISBLANK(Materiaalit!C109),"",Materiaalit!C109)</f>
        <v>Salaojasora</v>
      </c>
      <c r="Q18" s="111" t="str">
        <f>IF(ISBLANK(Materiaalit!D109),"",Materiaalit!D109)</f>
        <v>kg</v>
      </c>
      <c r="S18" s="321"/>
    </row>
    <row r="19" spans="4:19" x14ac:dyDescent="0.2">
      <c r="D19" s="10" t="str">
        <f>IF(ISBLANK(Kalusto!C48),"",Kalusto!C48)</f>
        <v>Jakelukuorma-auto, 6 t, 50 % kuorma, kaupunkiajo</v>
      </c>
      <c r="F19" s="111" t="str">
        <f>IF(ISBLANK(Materiaalit!C24),"",Materiaalit!C24)</f>
        <v>Pontit</v>
      </c>
      <c r="G19" s="111" t="str">
        <f>IF(ISBLANK(Materiaalit!D24),"",Materiaalit!D24)</f>
        <v>kg</v>
      </c>
      <c r="H19" s="111" t="str">
        <f>IF(ISBLANK(Materiaalit!C37),"",Materiaalit!C37)</f>
        <v>Lentotuhka</v>
      </c>
      <c r="I19" s="111" t="str">
        <f>IF(ISBLANK(Materiaalit!D37),"",Materiaalit!D37)</f>
        <v>kg</v>
      </c>
      <c r="J19" s="111" t="str">
        <f>IF(ISBLANK(Materiaalit!C52),"",Materiaalit!C52)</f>
        <v>Bentoniittimatto</v>
      </c>
      <c r="K19" s="111" t="str">
        <f>IF(ISBLANK(Materiaalit!D52),"",Materiaalit!D52)</f>
        <v>m2</v>
      </c>
      <c r="L19" s="111" t="str">
        <f>IF(ISBLANK(Materiaalit!C72),"",Materiaalit!C72)</f>
        <v>Bentoniittimatto</v>
      </c>
      <c r="M19" s="111" t="str">
        <f>IF(ISBLANK(Materiaalit!D72),"",Materiaalit!D72)</f>
        <v>m2</v>
      </c>
      <c r="N19" s="111" t="str">
        <f>IF(ISBLANK(Materiaalit!C91),"",Materiaalit!C91)</f>
        <v>Bentoniittimatto</v>
      </c>
      <c r="O19" s="111" t="str">
        <f>IF(ISBLANK(Materiaalit!D91),"",Materiaalit!D91)</f>
        <v>m2</v>
      </c>
      <c r="P19" s="111" t="str">
        <f>IF(ISBLANK(Materiaalit!C110),"",Materiaalit!C110)</f>
        <v>Pontit</v>
      </c>
      <c r="Q19" s="111" t="str">
        <f>IF(ISBLANK(Materiaalit!D110),"",Materiaalit!D110)</f>
        <v>kg</v>
      </c>
      <c r="S19" s="321"/>
    </row>
    <row r="20" spans="4:19" x14ac:dyDescent="0.2">
      <c r="D20" s="10" t="str">
        <f>IF(ISBLANK(Kalusto!C49),"",Kalusto!C49)</f>
        <v>Jakelukuorma-auto, 6 t, 80 % kuorma, maantieajo</v>
      </c>
      <c r="F20" s="111" t="str">
        <f>IF(ISBLANK(Materiaalit!C25),"",Materiaalit!C25)</f>
        <v>Oma materiaali</v>
      </c>
      <c r="G20" s="111" t="str">
        <f>IF(ISBLANK(Materiaalit!D25),"",Materiaalit!D25)</f>
        <v>Oma yksikkö</v>
      </c>
      <c r="H20" s="111" t="str">
        <f>IF(ISBLANK(Materiaalit!C38),"",Materiaalit!C38)</f>
        <v>Kuituliete</v>
      </c>
      <c r="I20" s="111" t="str">
        <f>IF(ISBLANK(Materiaalit!D38),"",Materiaalit!D38)</f>
        <v>kg</v>
      </c>
      <c r="J20" s="111" t="str">
        <f>IF(ISBLANK(Materiaalit!C53),"",Materiaalit!C53)</f>
        <v>HDPE-kalvo</v>
      </c>
      <c r="K20" s="111" t="str">
        <f>IF(ISBLANK(Materiaalit!D53),"",Materiaalit!D53)</f>
        <v>m2</v>
      </c>
      <c r="L20" s="111" t="str">
        <f>IF(ISBLANK(Materiaalit!C73),"",Materiaalit!C73)</f>
        <v>Asfaltti</v>
      </c>
      <c r="M20" s="111" t="str">
        <f>IF(ISBLANK(Materiaalit!D73),"",Materiaalit!D73)</f>
        <v>kg</v>
      </c>
      <c r="N20" s="111" t="str">
        <f>IF(ISBLANK(Materiaalit!C92),"",Materiaalit!C92)</f>
        <v>Asfaltti</v>
      </c>
      <c r="O20" s="111" t="str">
        <f>IF(ISBLANK(Materiaalit!D92),"",Materiaalit!D92)</f>
        <v>kg</v>
      </c>
      <c r="P20" s="111" t="str">
        <f>IF(ISBLANK(Materiaalit!C111),"",Materiaalit!C111)</f>
        <v>Bentoniittimatto</v>
      </c>
      <c r="Q20" s="111" t="str">
        <f>IF(ISBLANK(Materiaalit!D111),"",Materiaalit!D111)</f>
        <v>m2</v>
      </c>
      <c r="S20" s="321"/>
    </row>
    <row r="21" spans="4:19" x14ac:dyDescent="0.2">
      <c r="D21" s="10" t="str">
        <f>IF(ISBLANK(Kalusto!C50),"",Kalusto!C50)</f>
        <v>Jakelukuorma-auto, 6 t, 80 % kuorma, kaupunkiajo</v>
      </c>
      <c r="F21" s="111" t="str">
        <f>IF(ISBLANK(Materiaalit!C26),"",Materiaalit!C26)</f>
        <v/>
      </c>
      <c r="G21" s="111" t="str">
        <f>IF(ISBLANK(Materiaalit!D26),"",Materiaalit!D26)</f>
        <v/>
      </c>
      <c r="H21" s="111" t="str">
        <f>IF(ISBLANK(Materiaalit!C39),"",Materiaalit!C39)</f>
        <v>Siistausjäte</v>
      </c>
      <c r="I21" s="111" t="str">
        <f>IF(ISBLANK(Materiaalit!D39),"",Materiaalit!D39)</f>
        <v>kg</v>
      </c>
      <c r="J21" s="111" t="str">
        <f>IF(ISBLANK(Materiaalit!C54),"",Materiaalit!C54)</f>
        <v>Vetyperoksidi</v>
      </c>
      <c r="K21" s="111" t="str">
        <f>IF(ISBLANK(Materiaalit!D54),"",Materiaalit!D54)</f>
        <v>kg</v>
      </c>
      <c r="L21" s="111" t="str">
        <f>IF(ISBLANK(Materiaalit!C74),"",Materiaalit!C74)</f>
        <v>HDPE-kalvo</v>
      </c>
      <c r="M21" s="111" t="str">
        <f>IF(ISBLANK(Materiaalit!D74),"",Materiaalit!D74)</f>
        <v>m2</v>
      </c>
      <c r="N21" s="111" t="str">
        <f>IF(ISBLANK(Materiaalit!C93),"",Materiaalit!C93)</f>
        <v>HDPE-kalvo</v>
      </c>
      <c r="O21" s="111" t="str">
        <f>IF(ISBLANK(Materiaalit!D93),"",Materiaalit!D93)</f>
        <v>m2</v>
      </c>
      <c r="P21" s="111" t="str">
        <f>IF(ISBLANK(Materiaalit!C112),"",Materiaalit!C112)</f>
        <v>Asfaltti</v>
      </c>
      <c r="Q21" s="111" t="str">
        <f>IF(ISBLANK(Materiaalit!D112),"",Materiaalit!D112)</f>
        <v>kg</v>
      </c>
      <c r="S21" s="321"/>
    </row>
    <row r="22" spans="4:19" x14ac:dyDescent="0.2">
      <c r="D22" s="10" t="str">
        <f>IF(ISBLANK(Kalusto!C51),"",Kalusto!C51)</f>
        <v>Jakelukuorma-auto, 6 t, 100 % kuorma, maantieajo</v>
      </c>
      <c r="F22" s="111" t="str">
        <f>IF(ISBLANK(Materiaalit!C27),"",Materiaalit!C27)</f>
        <v/>
      </c>
      <c r="G22" s="10" t="str">
        <f>IF(ISBLANK(Materiaalit!D27),"",Materiaalit!D27)</f>
        <v/>
      </c>
      <c r="H22" s="111" t="str">
        <f>IF(ISBLANK(Materiaalit!C40),"",Materiaalit!C40)</f>
        <v>Suodatinkangas</v>
      </c>
      <c r="I22" s="111" t="str">
        <f>IF(ISBLANK(Materiaalit!D40),"",Materiaalit!D40)</f>
        <v>m2</v>
      </c>
      <c r="J22" s="111" t="str">
        <f>IF(ISBLANK(Materiaalit!C55),"",Materiaalit!C55)</f>
        <v>Polysulfidit</v>
      </c>
      <c r="K22" s="111" t="str">
        <f>IF(ISBLANK(Materiaalit!D55),"",Materiaalit!D55)</f>
        <v>kg</v>
      </c>
      <c r="L22" s="111" t="str">
        <f>IF(ISBLANK(Materiaalit!C75),"",Materiaalit!C75)</f>
        <v>Nollarauta</v>
      </c>
      <c r="M22" s="111" t="str">
        <f>IF(ISBLANK(Materiaalit!D75),"",Materiaalit!D75)</f>
        <v>kg</v>
      </c>
      <c r="N22" s="111" t="str">
        <f>IF(ISBLANK(Materiaalit!C94),"",Materiaalit!C94)</f>
        <v>Puun taimet</v>
      </c>
      <c r="O22" s="111" t="str">
        <f>IF(ISBLANK(Materiaalit!D94),"",Materiaalit!D94)</f>
        <v>kpl</v>
      </c>
      <c r="P22" s="111" t="str">
        <f>IF(ISBLANK(Materiaalit!C113),"",Materiaalit!C113)</f>
        <v>HDPE-kalvo</v>
      </c>
      <c r="Q22" s="111" t="str">
        <f>IF(ISBLANK(Materiaalit!D113),"",Materiaalit!D113)</f>
        <v>m2</v>
      </c>
      <c r="S22" s="321"/>
    </row>
    <row r="23" spans="4:19" x14ac:dyDescent="0.2">
      <c r="D23" s="10" t="str">
        <f>IF(ISBLANK(Kalusto!C52),"",Kalusto!C52)</f>
        <v>Jakelukuorma-auto, 6 t, 100 % kuorma, kaupunkiajo</v>
      </c>
      <c r="F23" s="111" t="str">
        <f>IF(ISBLANK(Materiaalit!C28),"",Materiaalit!C28)</f>
        <v/>
      </c>
      <c r="G23" s="10" t="str">
        <f>IF(ISBLANK(Materiaalit!D28),"",Materiaalit!D28)</f>
        <v/>
      </c>
      <c r="H23" s="111" t="str">
        <f>IF(ISBLANK(Materiaalit!C41),"",Materiaalit!C41)</f>
        <v>Huomioverkko</v>
      </c>
      <c r="I23" s="111" t="str">
        <f>IF(ISBLANK(Materiaalit!D41),"",Materiaalit!D41)</f>
        <v>m2</v>
      </c>
      <c r="J23" s="111" t="str">
        <f>IF(ISBLANK(Materiaalit!C56),"",Materiaalit!C56)</f>
        <v>Nollarauta</v>
      </c>
      <c r="K23" s="111" t="str">
        <f>IF(ISBLANK(Materiaalit!D56),"",Materiaalit!D56)</f>
        <v>kg</v>
      </c>
      <c r="L23" s="10" t="str">
        <f>IF(ISBLANK(Materiaalit!C76),"",Materiaalit!C76)</f>
        <v>Happi</v>
      </c>
      <c r="M23" s="111" t="str">
        <f>IF(ISBLANK(Materiaalit!D76),"",Materiaalit!D76)</f>
        <v>kg</v>
      </c>
      <c r="N23" s="10" t="str">
        <f>IF(ISBLANK(Materiaalit!C95),"",Materiaalit!C95)</f>
        <v>Kalkki</v>
      </c>
      <c r="O23" s="111" t="str">
        <f>IF(ISBLANK(Materiaalit!D95),"",Materiaalit!D95)</f>
        <v>kg</v>
      </c>
      <c r="P23" s="111" t="str">
        <f>IF(ISBLANK(Materiaalit!C114),"",Materiaalit!C114)</f>
        <v>Kuorikate</v>
      </c>
      <c r="Q23" s="111" t="str">
        <f>IF(ISBLANK(Materiaalit!D114),"",Materiaalit!D114)</f>
        <v>m3</v>
      </c>
      <c r="S23" s="321"/>
    </row>
    <row r="24" spans="4:19" x14ac:dyDescent="0.2">
      <c r="D24" s="10" t="str">
        <f>IF(ISBLANK(Kalusto!C53),"",Kalusto!C53)</f>
        <v>Jakelukuorma-auto, 15 t, 20 % kuorma, maantieajo</v>
      </c>
      <c r="F24" s="111" t="str">
        <f>IF(ISBLANK(Materiaalit!C29),"",Materiaalit!C29)</f>
        <v/>
      </c>
      <c r="G24" s="10" t="str">
        <f>IF(ISBLANK(Materiaalit!D29),"",Materiaalit!D29)</f>
        <v/>
      </c>
      <c r="H24" s="111" t="str">
        <f>IF(ISBLANK(Materiaalit!C42),"",Materiaalit!C42)</f>
        <v>HDPE-kalvo</v>
      </c>
      <c r="I24" s="111" t="str">
        <f>IF(ISBLANK(Materiaalit!D42),"",Materiaalit!D42)</f>
        <v>m2</v>
      </c>
      <c r="J24" s="111" t="str">
        <f>IF(ISBLANK(Materiaalit!C57),"",Materiaalit!C57)</f>
        <v>Happi</v>
      </c>
      <c r="K24" s="111" t="str">
        <f>IF(ISBLANK(Materiaalit!D57),"",Materiaalit!D57)</f>
        <v>kg</v>
      </c>
      <c r="L24" s="10" t="str">
        <f>IF(ISBLANK(Materiaalit!C77),"",Materiaalit!C77)</f>
        <v>Lannoitteet</v>
      </c>
      <c r="M24" s="111" t="str">
        <f>IF(ISBLANK(Materiaalit!D77),"",Materiaalit!D77)</f>
        <v>kg</v>
      </c>
      <c r="N24" s="10" t="str">
        <f>IF(ISBLANK(Materiaalit!C96),"",Materiaalit!C96)</f>
        <v>Lannoitteet</v>
      </c>
      <c r="O24" s="111" t="str">
        <f>IF(ISBLANK(Materiaalit!D96),"",Materiaalit!D96)</f>
        <v>kg</v>
      </c>
      <c r="P24" s="10" t="str">
        <f>IF(ISBLANK(Materiaalit!C115),"",Materiaalit!C115)</f>
        <v>Kalkki</v>
      </c>
      <c r="Q24" s="111" t="str">
        <f>IF(ISBLANK(Materiaalit!D115),"",Materiaalit!D115)</f>
        <v>kg</v>
      </c>
      <c r="S24" s="321"/>
    </row>
    <row r="25" spans="4:19" x14ac:dyDescent="0.2">
      <c r="D25" s="10" t="str">
        <f>IF(ISBLANK(Kalusto!C54),"",Kalusto!C54)</f>
        <v>Jakelukuorma-auto, 15 t, 20 % kuorma, kaupunkiajo</v>
      </c>
      <c r="F25" s="111" t="str">
        <f>IF(ISBLANK(Materiaalit!C30),"",Materiaalit!C30)</f>
        <v/>
      </c>
      <c r="G25" s="10" t="str">
        <f>IF(ISBLANK(Materiaalit!D30),"",Materiaalit!D30)</f>
        <v/>
      </c>
      <c r="H25" s="10" t="str">
        <f>IF(ISBLANK(Materiaalit!C43),"",Materiaalit!C43)</f>
        <v>Oma materiaali</v>
      </c>
      <c r="I25" s="111" t="str">
        <f>IF(ISBLANK(Materiaalit!D43),"",Materiaalit!D43)</f>
        <v>Oma yksikkö</v>
      </c>
      <c r="J25" s="111" t="str">
        <f>IF(ISBLANK(Materiaalit!C58),"",Materiaalit!C58)</f>
        <v>Lannoitteet</v>
      </c>
      <c r="K25" s="111" t="str">
        <f>IF(ISBLANK(Materiaalit!D58),"",Materiaalit!D58)</f>
        <v>kg</v>
      </c>
      <c r="L25" s="10" t="str">
        <f>IF(ISBLANK(Materiaalit!C78),"",Materiaalit!C78)</f>
        <v>Aktiivihiili - regeneroitu</v>
      </c>
      <c r="M25" s="111" t="str">
        <f>IF(ISBLANK(Materiaalit!D78),"",Materiaalit!D78)</f>
        <v>kg</v>
      </c>
      <c r="N25" s="10" t="str">
        <f>IF(ISBLANK(Materiaalit!C97),"",Materiaalit!C97)</f>
        <v>Aktiivihiili - regeneroitu</v>
      </c>
      <c r="O25" s="111" t="str">
        <f>IF(ISBLANK(Materiaalit!D97),"",Materiaalit!D97)</f>
        <v>kg</v>
      </c>
      <c r="P25" s="10" t="str">
        <f>IF(ISBLANK(Materiaalit!C116),"",Materiaalit!C116)</f>
        <v>Lannoitteet</v>
      </c>
      <c r="Q25" s="111" t="str">
        <f>IF(ISBLANK(Materiaalit!D116),"",Materiaalit!D116)</f>
        <v>kg</v>
      </c>
      <c r="S25" s="321"/>
    </row>
    <row r="26" spans="4:19" x14ac:dyDescent="0.2">
      <c r="D26" s="10" t="str">
        <f>IF(ISBLANK(Kalusto!C55),"",Kalusto!C55)</f>
        <v>Jakelukuorma-auto, 15 t, 50 % kuorma, maantieajo</v>
      </c>
      <c r="F26" s="111" t="str">
        <f>IF(ISBLANK(Materiaalit!C31),"",Materiaalit!C31)</f>
        <v/>
      </c>
      <c r="G26" s="10" t="str">
        <f>IF(ISBLANK(Materiaalit!D31),"",Materiaalit!D31)</f>
        <v/>
      </c>
      <c r="H26" s="10" t="str">
        <f>IF(ISBLANK(Materiaalit!C44),"",Materiaalit!C44)</f>
        <v/>
      </c>
      <c r="I26" s="111" t="str">
        <f>IF(ISBLANK(Materiaalit!D44),"",Materiaalit!D44)</f>
        <v/>
      </c>
      <c r="J26" s="111" t="str">
        <f>IF(ISBLANK(Materiaalit!C59),"",Materiaalit!C59)</f>
        <v>Aktiivihiili - regeneroitu</v>
      </c>
      <c r="K26" s="111" t="str">
        <f>IF(ISBLANK(Materiaalit!D59),"",Materiaalit!D59)</f>
        <v>kg</v>
      </c>
      <c r="L26" s="10" t="str">
        <f>IF(ISBLANK(Materiaalit!C79),"",Materiaalit!C79)</f>
        <v>Aktiivihiili - kookos</v>
      </c>
      <c r="M26" s="111" t="str">
        <f>IF(ISBLANK(Materiaalit!D79),"",Materiaalit!D79)</f>
        <v>kg</v>
      </c>
      <c r="N26" s="10" t="str">
        <f>IF(ISBLANK(Materiaalit!C98),"",Materiaalit!C98)</f>
        <v>Aktiivihiili - kookos</v>
      </c>
      <c r="O26" s="111" t="str">
        <f>IF(ISBLANK(Materiaalit!D98),"",Materiaalit!D98)</f>
        <v>kg</v>
      </c>
      <c r="P26" s="10" t="str">
        <f>IF(ISBLANK(Materiaalit!C117),"",Materiaalit!C117)</f>
        <v>Aktiivihiili - regeneroitu</v>
      </c>
      <c r="Q26" s="111" t="str">
        <f>IF(ISBLANK(Materiaalit!D117),"",Materiaalit!D117)</f>
        <v>kg</v>
      </c>
      <c r="S26" s="321"/>
    </row>
    <row r="27" spans="4:19" x14ac:dyDescent="0.2">
      <c r="D27" s="10" t="str">
        <f>IF(ISBLANK(Kalusto!C56),"",Kalusto!C56)</f>
        <v>Jakelukuorma-auto, 15 t, 50 % kuorma, kaupunkiajo</v>
      </c>
      <c r="G27" s="321"/>
      <c r="H27" s="10" t="str">
        <f>IF(ISBLANK(Materiaalit!C45),"",Materiaalit!C45)</f>
        <v/>
      </c>
      <c r="I27" s="111" t="str">
        <f>IF(ISBLANK(Materiaalit!D45),"",Materiaalit!D45)</f>
        <v/>
      </c>
      <c r="J27" s="111" t="str">
        <f>IF(ISBLANK(Materiaalit!C60),"",Materiaalit!C60)</f>
        <v>Aktiivihiili - kookos</v>
      </c>
      <c r="K27" s="111" t="str">
        <f>IF(ISBLANK(Materiaalit!D60),"",Materiaalit!D60)</f>
        <v>kg</v>
      </c>
      <c r="L27" s="10" t="str">
        <f>IF(ISBLANK(Materiaalit!C80),"",Materiaalit!C80)</f>
        <v>Aktiivihiili - hiili</v>
      </c>
      <c r="M27" s="111" t="str">
        <f>IF(ISBLANK(Materiaalit!D80),"",Materiaalit!D80)</f>
        <v>kg</v>
      </c>
      <c r="N27" s="10" t="str">
        <f>IF(ISBLANK(Materiaalit!C99),"",Materiaalit!C99)</f>
        <v>Aktiivihiili - hiili</v>
      </c>
      <c r="O27" s="111" t="str">
        <f>IF(ISBLANK(Materiaalit!D99),"",Materiaalit!D99)</f>
        <v>kg</v>
      </c>
      <c r="P27" s="10" t="str">
        <f>IF(ISBLANK(Materiaalit!C118),"",Materiaalit!C118)</f>
        <v>Aktiivihiili - kookos</v>
      </c>
      <c r="Q27" s="111" t="str">
        <f>IF(ISBLANK(Materiaalit!D118),"",Materiaalit!D118)</f>
        <v>kg</v>
      </c>
      <c r="S27" s="321"/>
    </row>
    <row r="28" spans="4:19" x14ac:dyDescent="0.2">
      <c r="D28" s="10" t="str">
        <f>IF(ISBLANK(Kalusto!C57),"",Kalusto!C57)</f>
        <v>Jakelukuorma-auto, 15 t, 80 % kuorma, maantieajo</v>
      </c>
      <c r="G28" s="321"/>
      <c r="H28" s="10" t="str">
        <f>IF(ISBLANK(Materiaalit!C47),"",Materiaalit!C47)</f>
        <v/>
      </c>
      <c r="I28" s="111" t="str">
        <f>IF(ISBLANK(Materiaalit!D47),"",Materiaalit!D47)</f>
        <v/>
      </c>
      <c r="J28" s="111" t="str">
        <f>IF(ISBLANK(Materiaalit!C61),"",Materiaalit!C61)</f>
        <v>Aktiivihiili - hiili</v>
      </c>
      <c r="K28" s="111" t="str">
        <f>IF(ISBLANK(Materiaalit!D61),"",Materiaalit!D61)</f>
        <v>kg</v>
      </c>
      <c r="L28" s="10" t="str">
        <f>IF(ISBLANK(Materiaalit!C81),"",Materiaalit!C81)</f>
        <v>Biohiili</v>
      </c>
      <c r="M28" s="111" t="str">
        <f>IF(ISBLANK(Materiaalit!D81),"",Materiaalit!D81)</f>
        <v>kg</v>
      </c>
      <c r="N28" s="10" t="str">
        <f>IF(ISBLANK(Materiaalit!C100),"",Materiaalit!C100)</f>
        <v>Biohiili</v>
      </c>
      <c r="O28" s="111" t="str">
        <f>IF(ISBLANK(Materiaalit!D100),"",Materiaalit!D100)</f>
        <v>kg</v>
      </c>
      <c r="P28" s="10" t="str">
        <f>IF(ISBLANK(Materiaalit!C119),"",Materiaalit!C119)</f>
        <v>Aktiivihiili - hiili</v>
      </c>
      <c r="Q28" s="111" t="str">
        <f>IF(ISBLANK(Materiaalit!D119),"",Materiaalit!D119)</f>
        <v>kg</v>
      </c>
      <c r="S28" s="321"/>
    </row>
    <row r="29" spans="4:19" x14ac:dyDescent="0.2">
      <c r="D29" s="10" t="str">
        <f>IF(ISBLANK(Kalusto!C58),"",Kalusto!C58)</f>
        <v>Jakelukuorma-auto, 15 t, 80 % kuorma, kaupunkiajo</v>
      </c>
      <c r="G29" s="321"/>
      <c r="I29" s="321"/>
      <c r="J29" s="111" t="str">
        <f>IF(ISBLANK(Materiaalit!C62),"",Materiaalit!C62)</f>
        <v>Biohiili</v>
      </c>
      <c r="K29" s="111" t="str">
        <f>IF(ISBLANK(Materiaalit!D62),"",Materiaalit!D62)</f>
        <v>kg</v>
      </c>
      <c r="L29" s="10" t="str">
        <f>IF(ISBLANK(Materiaalit!C82),"",Materiaalit!C82)</f>
        <v>Oma materiaali</v>
      </c>
      <c r="M29" s="111" t="str">
        <f>IF(ISBLANK(Materiaalit!D82),"",Materiaalit!D82)</f>
        <v>Oma yksikkö</v>
      </c>
      <c r="N29" s="10" t="str">
        <f>IF(ISBLANK(Materiaalit!C101),"",Materiaalit!C101)</f>
        <v>Oma materiaali</v>
      </c>
      <c r="O29" s="111" t="str">
        <f>IF(ISBLANK(Materiaalit!D101),"",Materiaalit!D101)</f>
        <v>Oma yksikkö</v>
      </c>
      <c r="P29" s="10" t="str">
        <f>IF(ISBLANK(Materiaalit!C120),"",Materiaalit!C120)</f>
        <v>Biohiili</v>
      </c>
      <c r="Q29" s="111" t="str">
        <f>IF(ISBLANK(Materiaalit!D120),"",Materiaalit!D120)</f>
        <v>kg</v>
      </c>
      <c r="S29" s="321"/>
    </row>
    <row r="30" spans="4:19" x14ac:dyDescent="0.2">
      <c r="D30" s="10" t="str">
        <f>IF(ISBLANK(Kalusto!C59),"",Kalusto!C59)</f>
        <v>Jakelukuorma-auto, 15 t, 100 % kuorma, maantieajo</v>
      </c>
      <c r="G30" s="321"/>
      <c r="I30" s="321"/>
      <c r="J30" s="10" t="str">
        <f>IF(ISBLANK(Materiaalit!C63),"",Materiaalit!C63)</f>
        <v>Oma materiaali</v>
      </c>
      <c r="K30" s="111" t="str">
        <f>IF(ISBLANK(Materiaalit!D63),"",Materiaalit!D63)</f>
        <v>Oma yksikkö</v>
      </c>
      <c r="L30" s="10" t="str">
        <f>IF(ISBLANK(Materiaalit!C83),"",Materiaalit!C83)</f>
        <v/>
      </c>
      <c r="M30" s="111" t="str">
        <f>IF(ISBLANK(Materiaalit!D83),"",Materiaalit!D83)</f>
        <v/>
      </c>
      <c r="N30" s="111" t="str">
        <f>IF(ISBLANK(Materiaalit!C102),"",Materiaalit!C102)</f>
        <v/>
      </c>
      <c r="O30" s="111" t="str">
        <f>IF(ISBLANK(Materiaalit!D102),"",Materiaalit!D102)</f>
        <v/>
      </c>
      <c r="P30" s="10" t="str">
        <f>IF(ISBLANK(Materiaalit!C121),"",Materiaalit!C121)</f>
        <v>Oma materiaali</v>
      </c>
      <c r="Q30" s="111" t="str">
        <f>IF(ISBLANK(Materiaalit!D121),"",Materiaalit!D121)</f>
        <v>Oma yksikkö</v>
      </c>
      <c r="S30" s="321"/>
    </row>
    <row r="31" spans="4:19" x14ac:dyDescent="0.2">
      <c r="D31" s="10" t="str">
        <f>IF(ISBLANK(Kalusto!C60),"",Kalusto!C60)</f>
        <v>Jakelukuorma-auto, 15 t, 100 % kuorma, kaupunkiajo</v>
      </c>
      <c r="I31" s="321"/>
      <c r="J31" s="10" t="str">
        <f>IF(ISBLANK(Materiaalit!C64),"",Materiaalit!C64)</f>
        <v/>
      </c>
      <c r="K31" s="111" t="str">
        <f>IF(ISBLANK(Materiaalit!D64),"",Materiaalit!D64)</f>
        <v/>
      </c>
      <c r="L31" s="10" t="str">
        <f>IF(ISBLANK(Materiaalit!C84),"",Materiaalit!C84)</f>
        <v/>
      </c>
      <c r="M31" s="111" t="str">
        <f>IF(ISBLANK(Materiaalit!D84),"",Materiaalit!D84)</f>
        <v/>
      </c>
      <c r="N31" s="111" t="str">
        <f>IF(ISBLANK(Materiaalit!C103),"",Materiaalit!C103)</f>
        <v/>
      </c>
      <c r="O31" s="111" t="str">
        <f>IF(ISBLANK(Materiaalit!D103),"",Materiaalit!D103)</f>
        <v/>
      </c>
      <c r="P31" s="10" t="str">
        <f>IF(ISBLANK(Materiaalit!C122),"",Materiaalit!C122)</f>
        <v/>
      </c>
      <c r="Q31" s="111" t="str">
        <f>IF(ISBLANK(Materiaalit!D122),"",Materiaalit!D122)</f>
        <v/>
      </c>
      <c r="S31" s="321"/>
    </row>
    <row r="32" spans="4:19" x14ac:dyDescent="0.2">
      <c r="D32" s="10" t="str">
        <f>IF(ISBLANK(Kalusto!C61),"",Kalusto!C61)</f>
        <v>Maansiirtoauto, 32 t, 20 % kuorma, maantieajo</v>
      </c>
      <c r="I32" s="321"/>
      <c r="J32" s="10" t="str">
        <f>IF(ISBLANK(Materiaalit!C65),"",Materiaalit!C65)</f>
        <v/>
      </c>
      <c r="K32" s="111" t="str">
        <f>IF(ISBLANK(Materiaalit!D65),"",Materiaalit!D65)</f>
        <v/>
      </c>
      <c r="L32" s="10" t="str">
        <f>IF(ISBLANK(Materiaalit!C85),"",Materiaalit!C85)</f>
        <v/>
      </c>
      <c r="M32" s="111" t="str">
        <f>IF(ISBLANK(Materiaalit!D85),"",Materiaalit!D85)</f>
        <v/>
      </c>
      <c r="N32" s="111" t="str">
        <f>IF(ISBLANK(Materiaalit!C104),"",Materiaalit!C104)</f>
        <v/>
      </c>
      <c r="O32" s="111" t="str">
        <f>IF(ISBLANK(Materiaalit!D104),"",Materiaalit!D104)</f>
        <v/>
      </c>
      <c r="P32" s="10" t="str">
        <f>IF(ISBLANK(Materiaalit!C123),"",Materiaalit!C123)</f>
        <v/>
      </c>
      <c r="Q32" s="111" t="str">
        <f>IF(ISBLANK(Materiaalit!D123),"",Materiaalit!D123)</f>
        <v/>
      </c>
      <c r="S32" s="321"/>
    </row>
    <row r="33" spans="4:17" x14ac:dyDescent="0.2">
      <c r="D33" s="10" t="str">
        <f>IF(ISBLANK(Kalusto!C62),"",Kalusto!C62)</f>
        <v>Maansiirtoauto, 32 t, 20 % kuorma, kaupunkiajo</v>
      </c>
      <c r="J33" s="10" t="str">
        <f>IF(ISBLANK(Materiaalit!C66),"",Materiaalit!C66)</f>
        <v/>
      </c>
      <c r="K33" s="111" t="str">
        <f>IF(ISBLANK(Materiaalit!D66),"",Materiaalit!D66)</f>
        <v/>
      </c>
      <c r="L33" t="str">
        <f>IF(ISBLANK(Materiaalit!C86),"",Materiaalit!C86)</f>
        <v/>
      </c>
      <c r="M33" s="321" t="str">
        <f>IF(ISBLANK(Materiaalit!D86),"",Materiaalit!D86)</f>
        <v/>
      </c>
      <c r="N33" s="321" t="str">
        <f>IF(ISBLANK(Materiaalit!C105),"",Materiaalit!C105)</f>
        <v/>
      </c>
      <c r="O33" s="321" t="str">
        <f>IF(ISBLANK(Materiaalit!D105),"",Materiaalit!D105)</f>
        <v/>
      </c>
      <c r="P33" s="10" t="str">
        <f>IF(ISBLANK(Materiaalit!C124),"",Materiaalit!C124)</f>
        <v/>
      </c>
      <c r="Q33" s="111" t="str">
        <f>IF(ISBLANK(Materiaalit!D124),"",Materiaalit!D124)</f>
        <v/>
      </c>
    </row>
    <row r="34" spans="4:17" x14ac:dyDescent="0.2">
      <c r="D34" s="10" t="str">
        <f>IF(ISBLANK(Kalusto!C63),"",Kalusto!C63)</f>
        <v>Maansiirtoauto, 32 t, 50 % kuorma, maantieajo</v>
      </c>
    </row>
    <row r="35" spans="4:17" x14ac:dyDescent="0.2">
      <c r="D35" s="10" t="str">
        <f>IF(ISBLANK(Kalusto!C64),"",Kalusto!C64)</f>
        <v>Maansiirtoauto, 32 t, 50 % kuorma, kaupunkiajo</v>
      </c>
    </row>
    <row r="36" spans="4:17" x14ac:dyDescent="0.2">
      <c r="D36" s="10" t="str">
        <f>IF(ISBLANK(Kalusto!C65),"",Kalusto!C65)</f>
        <v>Maansiirtoauto, 32 t, 80 % kuorma, maantieajo</v>
      </c>
    </row>
    <row r="37" spans="4:17" x14ac:dyDescent="0.2">
      <c r="D37" s="10" t="str">
        <f>IF(ISBLANK(Kalusto!C66),"",Kalusto!C66)</f>
        <v>Maansiirtoauto, 32 t, 80 % kuorma, kaupunkiajo</v>
      </c>
    </row>
    <row r="38" spans="4:17" x14ac:dyDescent="0.2">
      <c r="D38" s="10" t="str">
        <f>IF(ISBLANK(Kalusto!C67),"",Kalusto!C67)</f>
        <v>Maansiirtoauto, 32 t, 100 % kuorma, maantieajo</v>
      </c>
    </row>
    <row r="39" spans="4:17" x14ac:dyDescent="0.2">
      <c r="D39" s="10" t="str">
        <f>IF(ISBLANK(Kalusto!C68),"",Kalusto!C68)</f>
        <v>Maansiirtoauto, 32 t, 100 % kuorma, kaupunkiajo</v>
      </c>
    </row>
    <row r="40" spans="4:17" x14ac:dyDescent="0.2">
      <c r="D40" s="10" t="str">
        <f>IF(ISBLANK(Kalusto!C69),"",Kalusto!C69)</f>
        <v>Puoliperävaunuyhdistelmä, 40 t, 20 % kuorma, maantieajo</v>
      </c>
    </row>
    <row r="41" spans="4:17" x14ac:dyDescent="0.2">
      <c r="D41" s="10" t="str">
        <f>IF(ISBLANK(Kalusto!C70),"",Kalusto!C70)</f>
        <v>Puoliperävaunuyhdistelmä, 40 t, 20 % kuorma, kaupunkiajo</v>
      </c>
    </row>
    <row r="42" spans="4:17" x14ac:dyDescent="0.2">
      <c r="D42" s="10" t="str">
        <f>IF(ISBLANK(Kalusto!C71),"",Kalusto!C71)</f>
        <v>Puoliperävaunuyhdistelmä, 40 t, 50 % kuorma, maantieajo</v>
      </c>
    </row>
    <row r="43" spans="4:17" x14ac:dyDescent="0.2">
      <c r="D43" s="10" t="str">
        <f>IF(ISBLANK(Kalusto!C72),"",Kalusto!C72)</f>
        <v>Puoliperävaunuyhdistelmä, 40 t, 50 % kuorma, kaupunkiajo</v>
      </c>
    </row>
    <row r="44" spans="4:17" x14ac:dyDescent="0.2">
      <c r="D44" s="10" t="str">
        <f>IF(ISBLANK(Kalusto!C73),"",Kalusto!C73)</f>
        <v>Puoliperävaunuyhdistelmä, 40 t, 80 % kuorma, maantieajo</v>
      </c>
    </row>
    <row r="45" spans="4:17" x14ac:dyDescent="0.2">
      <c r="D45" s="10" t="str">
        <f>IF(ISBLANK(Kalusto!C74),"",Kalusto!C74)</f>
        <v>Puoliperävaunuyhdistelmä, 40 t, 80 % kuorma, kaupunkiajo</v>
      </c>
    </row>
    <row r="46" spans="4:17" x14ac:dyDescent="0.2">
      <c r="D46" s="10" t="str">
        <f>IF(ISBLANK(Kalusto!C75),"",Kalusto!C75)</f>
        <v>Puoliperävaunuyhdistelmä, 40 t, 100 % kuorma, maantieajo</v>
      </c>
    </row>
    <row r="47" spans="4:17" x14ac:dyDescent="0.2">
      <c r="D47" s="10" t="str">
        <f>IF(ISBLANK(Kalusto!C76),"",Kalusto!C76)</f>
        <v>Puoliperävaunuyhdistelmä, 40 t, 100 % kuorma, kaupunkiajo</v>
      </c>
    </row>
    <row r="48" spans="4:17" x14ac:dyDescent="0.2">
      <c r="D48" s="10" t="str">
        <f>IF(ISBLANK(Kalusto!C77),"",Kalusto!C77)</f>
        <v>Täysperävaunuyhdistelmät, 60 t, 20 % kuorma, maantieajo</v>
      </c>
    </row>
    <row r="49" spans="4:4" x14ac:dyDescent="0.2">
      <c r="D49" s="10" t="str">
        <f>IF(ISBLANK(Kalusto!C78),"",Kalusto!C78)</f>
        <v>Täysperävaunuyhdistelmät, 60 t, 20 % kuorma, kaupunkiajo</v>
      </c>
    </row>
    <row r="50" spans="4:4" x14ac:dyDescent="0.2">
      <c r="D50" s="10" t="str">
        <f>IF(ISBLANK(Kalusto!C79),"",Kalusto!C79)</f>
        <v>Täysperävaunuyhdistelmät, 60 t, 50 % kuorma, maantieajo</v>
      </c>
    </row>
    <row r="51" spans="4:4" x14ac:dyDescent="0.2">
      <c r="D51" s="10" t="str">
        <f>IF(ISBLANK(Kalusto!C80),"",Kalusto!C80)</f>
        <v>Täysperävaunuyhdistelmät, 60 t, 50 % kuorma, kaupunkiajo</v>
      </c>
    </row>
    <row r="52" spans="4:4" x14ac:dyDescent="0.2">
      <c r="D52" s="10" t="str">
        <f>IF(ISBLANK(Kalusto!C81),"",Kalusto!C81)</f>
        <v>Täysperävaunuyhdistelmät, 60 t, 80 % kuorma, maantieajo</v>
      </c>
    </row>
    <row r="53" spans="4:4" x14ac:dyDescent="0.2">
      <c r="D53" s="10" t="str">
        <f>IF(ISBLANK(Kalusto!C82),"",Kalusto!C82)</f>
        <v>Täysperävaunuyhdistelmät, 60 t, 80 % kuorma, kaupunkiajo</v>
      </c>
    </row>
    <row r="54" spans="4:4" x14ac:dyDescent="0.2">
      <c r="D54" s="10" t="str">
        <f>IF(ISBLANK(Kalusto!C83),"",Kalusto!C83)</f>
        <v>Täysperävaunuyhdistelmät, 60 t, 100 % kuorma, maantieajo</v>
      </c>
    </row>
    <row r="55" spans="4:4" x14ac:dyDescent="0.2">
      <c r="D55" s="10" t="str">
        <f>IF(ISBLANK(Kalusto!C84),"",Kalusto!C84)</f>
        <v>Täysperävaunuyhdistelmät, 60 t, 100 % kuorma, kaupunkiajo</v>
      </c>
    </row>
    <row r="56" spans="4:4" x14ac:dyDescent="0.2">
      <c r="D56" s="10"/>
    </row>
    <row r="57" spans="4:4" x14ac:dyDescent="0.2">
      <c r="D57" s="10"/>
    </row>
    <row r="58" spans="4:4" x14ac:dyDescent="0.2">
      <c r="D58" s="10"/>
    </row>
    <row r="59" spans="4:4" x14ac:dyDescent="0.2">
      <c r="D59" s="10"/>
    </row>
    <row r="60" spans="4:4" x14ac:dyDescent="0.2">
      <c r="D60" s="10"/>
    </row>
    <row r="61" spans="4:4" x14ac:dyDescent="0.2">
      <c r="D61" s="10"/>
    </row>
    <row r="62" spans="4:4" x14ac:dyDescent="0.2">
      <c r="D62" s="10"/>
    </row>
    <row r="63" spans="4:4" x14ac:dyDescent="0.2">
      <c r="D63" s="10"/>
    </row>
    <row r="64" spans="4:4" x14ac:dyDescent="0.2">
      <c r="D64" s="10"/>
    </row>
    <row r="65" spans="4:4" x14ac:dyDescent="0.2">
      <c r="D65" s="10"/>
    </row>
    <row r="67" spans="4:4" ht="15" x14ac:dyDescent="0.25">
      <c r="D67" s="11" t="s">
        <v>300</v>
      </c>
    </row>
    <row r="68" spans="4:4" x14ac:dyDescent="0.2">
      <c r="D68" s="10" t="s">
        <v>301</v>
      </c>
    </row>
    <row r="69" spans="4:4" x14ac:dyDescent="0.2">
      <c r="D69" s="10" t="str">
        <f>IF(ISBLANK(Kalusto!C5),"",Kalusto!C5)</f>
        <v>Kaivinkone, tela-alustainen, KKH 08</v>
      </c>
    </row>
    <row r="70" spans="4:4" x14ac:dyDescent="0.2">
      <c r="D70" s="10" t="str">
        <f>IF(ISBLANK(Kalusto!C6),"",Kalusto!C6)</f>
        <v>Kaivinkone, tela-alustainen, KKH 11</v>
      </c>
    </row>
    <row r="71" spans="4:4" x14ac:dyDescent="0.2">
      <c r="D71" s="10" t="str">
        <f>IF(ISBLANK(Kalusto!C7),"",Kalusto!C7)</f>
        <v>Kaivinkone, tela-alustainen, KKH 14</v>
      </c>
    </row>
    <row r="72" spans="4:4" x14ac:dyDescent="0.2">
      <c r="D72" s="10" t="str">
        <f>IF(ISBLANK(Kalusto!C8),"",Kalusto!C8)</f>
        <v>Kaivinkone, tela-alustainen, KKH 17</v>
      </c>
    </row>
    <row r="73" spans="4:4" x14ac:dyDescent="0.2">
      <c r="D73" s="10" t="str">
        <f>IF(ISBLANK(Kalusto!C9),"",Kalusto!C9)</f>
        <v>Kaivinkone, tela-alustainen, KKH 21</v>
      </c>
    </row>
    <row r="74" spans="4:4" x14ac:dyDescent="0.2">
      <c r="D74" s="10" t="str">
        <f>IF(ISBLANK(Kalusto!C10),"",Kalusto!C10)</f>
        <v>Kaivinkone, tela-alustainen, KKH 25</v>
      </c>
    </row>
    <row r="75" spans="4:4" x14ac:dyDescent="0.2">
      <c r="D75" s="10" t="str">
        <f>IF(ISBLANK(Kalusto!C11),"",Kalusto!C11)</f>
        <v>Kaivinkone, tela-alustainen, KKH 30</v>
      </c>
    </row>
    <row r="76" spans="4:4" x14ac:dyDescent="0.2">
      <c r="D76" s="10" t="str">
        <f>IF(ISBLANK(Kalusto!C12),"",Kalusto!C12)</f>
        <v>Kaivinkone, tela-alustainen, KKH 35</v>
      </c>
    </row>
    <row r="77" spans="4:4" x14ac:dyDescent="0.2">
      <c r="D77" s="10" t="str">
        <f>IF(ISBLANK(Kalusto!C13),"",Kalusto!C13)</f>
        <v>Kaivinkone, tela-alustainen, KKH 45</v>
      </c>
    </row>
    <row r="78" spans="4:4" x14ac:dyDescent="0.2">
      <c r="D78" s="10" t="str">
        <f>IF(ISBLANK(Kalusto!C14),"",Kalusto!C14)</f>
        <v>Kaivinkone, tela-alustainen, KKH 55</v>
      </c>
    </row>
    <row r="79" spans="4:4" x14ac:dyDescent="0.2">
      <c r="D79" s="10" t="str">
        <f>IF(ISBLANK(Kalusto!C15),"",Kalusto!C15)</f>
        <v>Pienoispyöräkuormaaja, KUP 00 tai KUP 03 (bobcat)</v>
      </c>
    </row>
    <row r="80" spans="4:4" x14ac:dyDescent="0.2">
      <c r="D80" s="10" t="str">
        <f>IF(ISBLANK(Kalusto!C16),"",Kalusto!C16)</f>
        <v>Pyöräkuormaaja, KUP 100-130</v>
      </c>
    </row>
    <row r="81" spans="4:4" x14ac:dyDescent="0.2">
      <c r="D81" s="10" t="str">
        <f>IF(ISBLANK(Kalusto!C17),"",Kalusto!C17)</f>
        <v>Pyöräkuormaaja, KUP 150-210</v>
      </c>
    </row>
    <row r="82" spans="4:4" x14ac:dyDescent="0.2">
      <c r="D82" s="10" t="str">
        <f>IF(ISBLANK(Kalusto!C18),"",Kalusto!C18)</f>
        <v>Pyöräkuormaaja, KUP 30-90</v>
      </c>
    </row>
    <row r="83" spans="4:4" x14ac:dyDescent="0.2">
      <c r="D83" s="10" t="str">
        <f>IF(ISBLANK(Kalusto!C19),"",Kalusto!C19)</f>
        <v>Traktorikaivuri</v>
      </c>
    </row>
    <row r="84" spans="4:4" x14ac:dyDescent="0.2">
      <c r="D84" s="10" t="str">
        <f>IF(ISBLANK(Kalusto!C20),"",Kalusto!C20)</f>
        <v>Porauskalusto (kalliorakentaminen)</v>
      </c>
    </row>
    <row r="85" spans="4:4" x14ac:dyDescent="0.2">
      <c r="D85" s="10" t="str">
        <f>IF(ISBLANK(Kalusto!C21),"",Kalusto!C21)</f>
        <v>Maaporavaunu</v>
      </c>
    </row>
    <row r="86" spans="4:4" x14ac:dyDescent="0.2">
      <c r="D86" s="10" t="str">
        <f>IF(ISBLANK(Kalusto!C22),"",Kalusto!C22)</f>
        <v>Poravaunu</v>
      </c>
    </row>
    <row r="87" spans="4:4" x14ac:dyDescent="0.2">
      <c r="D87" s="10" t="str">
        <f>IF(ISBLANK(Kalusto!C23),"",Kalusto!C23)</f>
        <v>Aggregaatti</v>
      </c>
    </row>
    <row r="88" spans="4:4" x14ac:dyDescent="0.2">
      <c r="D88" s="10" t="str">
        <f>IF(ISBLANK(Kalusto!C24),"",Kalusto!C24)</f>
        <v>Kompressori</v>
      </c>
    </row>
    <row r="89" spans="4:4" x14ac:dyDescent="0.2">
      <c r="D89" s="10" t="str">
        <f>IF(ISBLANK(Kalusto!C25),"",Kalusto!C25)</f>
        <v>Asfaltinjyrsin</v>
      </c>
    </row>
    <row r="90" spans="4:4" x14ac:dyDescent="0.2">
      <c r="D90" s="10" t="str">
        <f>IF(ISBLANK(Kalusto!C26),"",Kalusto!C26)</f>
        <v>Tasoseula, 20-30 t</v>
      </c>
    </row>
    <row r="91" spans="4:4" x14ac:dyDescent="0.2">
      <c r="D91" s="10" t="str">
        <f>IF(ISBLANK(Kalusto!C27),"",Kalusto!C27)</f>
        <v>Tasoseula, alle 20 t</v>
      </c>
    </row>
    <row r="92" spans="4:4" x14ac:dyDescent="0.2">
      <c r="D92" s="10" t="str">
        <f>IF(ISBLANK(Kalusto!C28),"",Kalusto!C28)</f>
        <v>Tasoseula, yli 30 t</v>
      </c>
    </row>
    <row r="93" spans="4:4" x14ac:dyDescent="0.2">
      <c r="D93" s="10" t="str">
        <f>IF(ISBLANK(Kalusto!C29),"",Kalusto!C29)</f>
        <v>Paalutuskone alle 40 t</v>
      </c>
    </row>
    <row r="94" spans="4:4" x14ac:dyDescent="0.2">
      <c r="D94" s="10" t="str">
        <f>IF(ISBLANK(Kalusto!C30),"",Kalusto!C30)</f>
        <v>Paalutuskone yli 40 t</v>
      </c>
    </row>
    <row r="95" spans="4:4" x14ac:dyDescent="0.2">
      <c r="D95" s="10" t="str">
        <f>IF(ISBLANK(Kalusto!C31),"",Kalusto!C31)</f>
        <v>Paalutuskone, sähkö</v>
      </c>
    </row>
    <row r="96" spans="4:4" x14ac:dyDescent="0.2">
      <c r="D96" s="10" t="str">
        <f>IF(ISBLANK(Kalusto!C32),"",Kalusto!C32)</f>
        <v>Massastabilointikone</v>
      </c>
    </row>
    <row r="97" spans="4:4" x14ac:dyDescent="0.2">
      <c r="D97" s="10" t="str">
        <f>IF(ISBLANK(Kalusto!C33),"",Kalusto!C33)</f>
        <v>Kaivannon uppopumppu</v>
      </c>
    </row>
    <row r="98" spans="4:4" x14ac:dyDescent="0.2">
      <c r="D98" s="10" t="str">
        <f>IF(ISBLANK(Kalusto!C34),"",Kalusto!C34)</f>
        <v>Kaivannon uppopumppu</v>
      </c>
    </row>
    <row r="99" spans="4:4" x14ac:dyDescent="0.2">
      <c r="D99" s="10" t="str">
        <f>IF(ISBLANK(Kalusto!C35),"",Kalusto!C35)</f>
        <v/>
      </c>
    </row>
    <row r="100" spans="4:4" x14ac:dyDescent="0.2">
      <c r="D100" s="10" t="str">
        <f>IF(ISBLANK(Kalusto!C36),"",Kalusto!C36)</f>
        <v/>
      </c>
    </row>
    <row r="101" spans="4:4" x14ac:dyDescent="0.2">
      <c r="D101" s="10" t="str">
        <f>IF(ISBLANK(Kalusto!C37),"",Kalusto!C37)</f>
        <v/>
      </c>
    </row>
    <row r="102" spans="4:4" x14ac:dyDescent="0.2">
      <c r="D102" s="10" t="str">
        <f>IF(ISBLANK(Kalusto!C38),"",Kalusto!C38)</f>
        <v/>
      </c>
    </row>
    <row r="103" spans="4:4" x14ac:dyDescent="0.2">
      <c r="D103" s="10" t="str">
        <f>IF(ISBLANK(Kalusto!C39),"",Kalusto!C39)</f>
        <v/>
      </c>
    </row>
    <row r="104" spans="4:4" x14ac:dyDescent="0.2">
      <c r="D104" s="10" t="str">
        <f>IF(ISBLANK(Kalusto!C40),"",Kalusto!C40)</f>
        <v/>
      </c>
    </row>
    <row r="105" spans="4:4" x14ac:dyDescent="0.2">
      <c r="D105" s="10" t="str">
        <f>IF(ISBLANK(Kalusto!C41),"",Kalusto!C41)</f>
        <v/>
      </c>
    </row>
    <row r="106" spans="4:4" x14ac:dyDescent="0.2">
      <c r="D106" s="10" t="str">
        <f>IF(ISBLANK(Kalusto!C42),"",Kalusto!C42)</f>
        <v/>
      </c>
    </row>
  </sheetData>
  <sheetProtection sheet="1" objects="1" scenarios="1"/>
  <pageMargins left="0.70866141732283472" right="0.70866141732283472" top="0.74803149606299213" bottom="0.74803149606299213" header="0.31496062992125984" footer="0.31496062992125984"/>
  <pageSetup paperSize="9" scale="75" orientation="portrait" verticalDpi="0" r:id="rId1"/>
  <headerFooter>
    <oddHeader>&amp;L&amp;"-,Lihavoitu"&amp;12PIIP-laskentatyökalu&amp;RPudotusvalikot
Sivu &amp;P/&amp;N</oddHeader>
    <oddFooter>&amp;L&amp;G&amp;R&amp;G</oddFooter>
  </headerFooter>
  <rowBreaks count="1" manualBreakCount="1">
    <brk id="65" max="16383" man="1"/>
  </rowBreaks>
  <colBreaks count="2" manualBreakCount="2">
    <brk id="4" max="1048575" man="1"/>
    <brk id="11" max="29" man="1"/>
  </col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0F3B1-6BB2-40BF-926B-FEB45C695098}">
  <dimension ref="B4:C6"/>
  <sheetViews>
    <sheetView zoomScale="115" zoomScaleNormal="115" workbookViewId="0">
      <selection activeCell="B6" sqref="B6"/>
    </sheetView>
  </sheetViews>
  <sheetFormatPr defaultRowHeight="14.25" x14ac:dyDescent="0.2"/>
  <cols>
    <col min="2" max="2" width="28.5" style="398" customWidth="1"/>
    <col min="3" max="3" width="116.75" style="480" customWidth="1"/>
  </cols>
  <sheetData>
    <row r="4" spans="2:3" s="3" customFormat="1" ht="15" x14ac:dyDescent="0.25">
      <c r="B4" s="478" t="s">
        <v>726</v>
      </c>
      <c r="C4" s="479" t="s">
        <v>802</v>
      </c>
    </row>
    <row r="5" spans="2:3" x14ac:dyDescent="0.2">
      <c r="B5" s="481" t="s">
        <v>804</v>
      </c>
      <c r="C5" s="483" t="s">
        <v>811</v>
      </c>
    </row>
    <row r="6" spans="2:3" ht="42.75" x14ac:dyDescent="0.2">
      <c r="B6" s="482">
        <v>45706</v>
      </c>
      <c r="C6" s="483" t="s">
        <v>809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F4B7F-320F-475A-B8A7-7BF30ACD5DC3}">
  <sheetPr codeName="Sheet2">
    <tabColor theme="2" tint="0.79998168889431442"/>
  </sheetPr>
  <dimension ref="B2:BH30"/>
  <sheetViews>
    <sheetView zoomScaleNormal="100" zoomScaleSheetLayoutView="85" workbookViewId="0">
      <selection activeCell="D6" sqref="D6"/>
    </sheetView>
  </sheetViews>
  <sheetFormatPr defaultRowHeight="14.25" x14ac:dyDescent="0.2"/>
  <cols>
    <col min="2" max="2" width="31.25" customWidth="1"/>
    <col min="3" max="4" width="13.125" customWidth="1"/>
    <col min="5" max="5" width="3.25" customWidth="1"/>
    <col min="6" max="7" width="14.125" customWidth="1"/>
    <col min="8" max="19" width="12.25" customWidth="1"/>
    <col min="20" max="21" width="15.125" customWidth="1"/>
    <col min="22" max="22" width="15.625" customWidth="1"/>
  </cols>
  <sheetData>
    <row r="2" spans="2:60" s="24" customFormat="1" ht="30.75" x14ac:dyDescent="0.2">
      <c r="B2" s="7" t="s">
        <v>645</v>
      </c>
      <c r="C2" s="7"/>
      <c r="D2" s="26"/>
      <c r="E2" s="82"/>
      <c r="H2" s="26"/>
      <c r="I2" s="82"/>
      <c r="K2" s="25"/>
      <c r="P2" s="247"/>
      <c r="S2" s="26"/>
      <c r="T2" s="137"/>
      <c r="U2" s="29"/>
      <c r="V2" s="28"/>
      <c r="W2" s="28"/>
      <c r="X2" s="28"/>
      <c r="Y2" s="28"/>
      <c r="Z2" s="28"/>
      <c r="AA2" s="28"/>
      <c r="AB2" s="28"/>
      <c r="AC2" s="28"/>
      <c r="AD2" s="28"/>
      <c r="AE2" s="28"/>
      <c r="AF2" s="28"/>
      <c r="AG2" s="28"/>
      <c r="AH2" s="28"/>
      <c r="AI2" s="28"/>
      <c r="AJ2" s="28"/>
      <c r="AK2" s="28"/>
      <c r="AL2" s="28"/>
      <c r="AM2" s="28"/>
      <c r="AN2" s="28"/>
      <c r="AO2" s="28"/>
      <c r="AP2" s="28"/>
      <c r="AQ2" s="29"/>
      <c r="AR2" s="29"/>
      <c r="AS2" s="29"/>
      <c r="AT2" s="29"/>
      <c r="AU2" s="29"/>
      <c r="AV2" s="29"/>
      <c r="AW2" s="29"/>
      <c r="AX2" s="29"/>
      <c r="AY2" s="29"/>
      <c r="AZ2" s="29"/>
      <c r="BA2" s="29"/>
      <c r="BB2" s="29"/>
      <c r="BC2" s="29"/>
      <c r="BD2" s="29"/>
      <c r="BE2" s="29"/>
      <c r="BF2" s="29"/>
      <c r="BG2" s="29"/>
      <c r="BH2" s="29"/>
    </row>
    <row r="4" spans="2:60" s="289" customFormat="1" ht="18" x14ac:dyDescent="0.2">
      <c r="B4" s="286" t="s">
        <v>654</v>
      </c>
      <c r="C4" s="286"/>
      <c r="D4" s="287"/>
      <c r="E4" s="288"/>
      <c r="H4" s="287"/>
      <c r="I4" s="288"/>
      <c r="L4" s="287"/>
      <c r="M4" s="287"/>
      <c r="N4" s="288"/>
      <c r="O4" s="288"/>
      <c r="P4" s="291"/>
      <c r="R4" s="295"/>
      <c r="T4" s="294"/>
      <c r="U4" s="294"/>
      <c r="V4" s="294"/>
      <c r="W4" s="294"/>
      <c r="X4" s="294"/>
      <c r="Y4" s="294"/>
      <c r="Z4" s="294"/>
      <c r="AA4" s="294"/>
      <c r="AB4" s="294"/>
      <c r="AC4" s="294"/>
      <c r="AD4" s="294"/>
      <c r="AE4" s="294"/>
      <c r="AF4" s="294"/>
      <c r="AG4" s="294"/>
      <c r="AH4" s="294"/>
      <c r="AI4" s="294"/>
      <c r="AJ4" s="294"/>
      <c r="AK4" s="294"/>
      <c r="AL4" s="294"/>
      <c r="AM4" s="294"/>
      <c r="AN4" s="294"/>
      <c r="AO4" s="295"/>
      <c r="AP4" s="295"/>
      <c r="AQ4" s="295"/>
      <c r="AR4" s="295"/>
      <c r="AS4" s="295"/>
      <c r="AT4" s="295"/>
      <c r="AU4" s="295"/>
      <c r="AV4" s="295"/>
      <c r="AW4" s="295"/>
      <c r="AX4" s="295"/>
      <c r="AY4" s="295"/>
      <c r="AZ4" s="295"/>
      <c r="BA4" s="295"/>
      <c r="BB4" s="295"/>
      <c r="BC4" s="295"/>
      <c r="BD4" s="295"/>
      <c r="BE4" s="295"/>
      <c r="BF4" s="295"/>
    </row>
    <row r="6" spans="2:60" ht="19.5" customHeight="1" x14ac:dyDescent="0.25">
      <c r="C6" s="4" t="s">
        <v>14</v>
      </c>
      <c r="D6" s="269"/>
      <c r="E6" s="270"/>
      <c r="F6" s="271"/>
      <c r="G6" s="6"/>
      <c r="I6" s="462"/>
      <c r="J6" s="462"/>
    </row>
    <row r="7" spans="2:60" ht="19.5" customHeight="1" x14ac:dyDescent="0.25">
      <c r="C7" s="4" t="s">
        <v>15</v>
      </c>
      <c r="D7" s="269"/>
      <c r="E7" s="270"/>
      <c r="F7" s="271"/>
      <c r="G7" s="6"/>
      <c r="I7" s="464"/>
      <c r="J7" s="462"/>
    </row>
    <row r="8" spans="2:60" ht="19.5" customHeight="1" x14ac:dyDescent="0.25">
      <c r="C8" s="4" t="s">
        <v>16</v>
      </c>
      <c r="D8" s="272"/>
      <c r="E8" s="270"/>
      <c r="F8" s="271"/>
      <c r="G8" s="6"/>
    </row>
    <row r="9" spans="2:60" x14ac:dyDescent="0.2">
      <c r="C9" s="1"/>
    </row>
    <row r="10" spans="2:60" x14ac:dyDescent="0.2">
      <c r="C10" s="1"/>
    </row>
    <row r="11" spans="2:60" ht="16.5" x14ac:dyDescent="0.2">
      <c r="C11" s="1" t="s">
        <v>310</v>
      </c>
      <c r="D11" s="273"/>
      <c r="E11" t="s">
        <v>35</v>
      </c>
    </row>
    <row r="12" spans="2:60" ht="16.5" x14ac:dyDescent="0.2">
      <c r="C12" s="1" t="s">
        <v>311</v>
      </c>
      <c r="D12" s="273"/>
      <c r="E12" t="s">
        <v>36</v>
      </c>
    </row>
    <row r="13" spans="2:60" ht="16.5" x14ac:dyDescent="0.2">
      <c r="C13" s="1" t="s">
        <v>312</v>
      </c>
      <c r="D13" s="273"/>
      <c r="E13" t="s">
        <v>37</v>
      </c>
    </row>
    <row r="14" spans="2:60" ht="27" customHeight="1" x14ac:dyDescent="0.2">
      <c r="C14" s="2"/>
    </row>
    <row r="15" spans="2:60" x14ac:dyDescent="0.2">
      <c r="C15" s="1" t="s">
        <v>313</v>
      </c>
      <c r="D15" s="268"/>
      <c r="E15" t="s">
        <v>23</v>
      </c>
    </row>
    <row r="16" spans="2:60" x14ac:dyDescent="0.2">
      <c r="B16" s="1"/>
      <c r="C16" s="1"/>
      <c r="D16" s="1"/>
      <c r="U16" s="276"/>
    </row>
    <row r="17" spans="2:59" s="289" customFormat="1" ht="18" x14ac:dyDescent="0.2">
      <c r="B17" s="286" t="s">
        <v>635</v>
      </c>
      <c r="C17" s="286"/>
      <c r="D17" s="287"/>
      <c r="E17" s="288"/>
      <c r="H17" s="287"/>
      <c r="I17" s="288"/>
      <c r="K17" s="306"/>
      <c r="L17" s="290"/>
      <c r="M17" s="290"/>
      <c r="N17" s="310"/>
      <c r="O17" s="310"/>
      <c r="P17" s="291"/>
      <c r="Q17" s="290"/>
      <c r="R17" s="295"/>
      <c r="S17" s="294"/>
      <c r="T17" s="294"/>
      <c r="U17" s="294"/>
      <c r="V17" s="294"/>
      <c r="W17" s="294"/>
      <c r="X17" s="294"/>
      <c r="Y17" s="294"/>
      <c r="Z17" s="294"/>
      <c r="AA17" s="294"/>
      <c r="AB17" s="294"/>
      <c r="AC17" s="294"/>
      <c r="AD17" s="294"/>
      <c r="AE17" s="294"/>
      <c r="AF17" s="294"/>
      <c r="AG17" s="294"/>
      <c r="AH17" s="294"/>
      <c r="AI17" s="294"/>
      <c r="AJ17" s="294"/>
      <c r="AK17" s="294"/>
      <c r="AL17" s="294"/>
      <c r="AM17" s="294"/>
      <c r="AN17" s="294"/>
      <c r="AO17" s="295"/>
      <c r="AP17" s="295"/>
      <c r="AQ17" s="295"/>
      <c r="AR17" s="295"/>
      <c r="AS17" s="295"/>
      <c r="AT17" s="295"/>
      <c r="AU17" s="295"/>
      <c r="AV17" s="295"/>
      <c r="AW17" s="295"/>
      <c r="AX17" s="295"/>
      <c r="AY17" s="295"/>
      <c r="AZ17" s="295"/>
      <c r="BA17" s="295"/>
      <c r="BB17" s="295"/>
      <c r="BC17" s="295"/>
      <c r="BD17" s="295"/>
      <c r="BE17" s="295"/>
      <c r="BF17" s="295"/>
    </row>
    <row r="18" spans="2:59" s="30" customFormat="1" ht="18" x14ac:dyDescent="0.2">
      <c r="B18" s="320"/>
      <c r="C18" s="320"/>
      <c r="D18" s="320"/>
      <c r="E18" s="33"/>
      <c r="F18" s="81"/>
      <c r="I18" s="33"/>
      <c r="J18" s="81"/>
      <c r="L18" s="32"/>
      <c r="M18" s="37"/>
      <c r="N18" s="37"/>
      <c r="O18" s="83"/>
      <c r="P18" s="83"/>
      <c r="Q18" s="249"/>
      <c r="R18" s="37"/>
      <c r="S18" s="54"/>
      <c r="T18" s="53"/>
      <c r="U18" s="97" t="s">
        <v>687</v>
      </c>
      <c r="V18" s="53"/>
      <c r="W18" s="53"/>
      <c r="X18" s="53"/>
      <c r="Y18" s="53"/>
      <c r="Z18" s="53"/>
      <c r="AA18" s="53"/>
      <c r="AB18" s="53"/>
      <c r="AC18" s="53"/>
      <c r="AD18" s="53"/>
      <c r="AE18" s="53"/>
      <c r="AF18" s="53"/>
      <c r="AG18" s="53"/>
      <c r="AH18" s="53"/>
      <c r="AI18" s="53"/>
      <c r="AJ18" s="53"/>
      <c r="AK18" s="53"/>
      <c r="AL18" s="53"/>
      <c r="AM18" s="53"/>
      <c r="AN18" s="53"/>
      <c r="AO18" s="53"/>
      <c r="AP18" s="54"/>
      <c r="AQ18" s="54"/>
      <c r="AR18" s="54"/>
      <c r="AS18" s="54"/>
      <c r="AT18" s="54"/>
      <c r="AU18" s="54"/>
      <c r="AV18" s="54"/>
      <c r="AW18" s="54"/>
      <c r="AX18" s="54"/>
      <c r="AY18" s="54"/>
      <c r="AZ18" s="54"/>
      <c r="BA18" s="54"/>
      <c r="BB18" s="54"/>
      <c r="BC18" s="54"/>
      <c r="BD18" s="54"/>
      <c r="BE18" s="54"/>
      <c r="BF18" s="54"/>
      <c r="BG18" s="54"/>
    </row>
    <row r="19" spans="2:59" ht="86.25" customHeight="1" x14ac:dyDescent="0.25">
      <c r="B19" s="328" t="s">
        <v>38</v>
      </c>
      <c r="C19" s="324" t="s">
        <v>655</v>
      </c>
      <c r="D19" s="324" t="s">
        <v>656</v>
      </c>
      <c r="E19" s="355"/>
      <c r="F19" s="324" t="s">
        <v>617</v>
      </c>
      <c r="G19" s="324" t="s">
        <v>651</v>
      </c>
      <c r="H19" s="467" t="s">
        <v>594</v>
      </c>
      <c r="I19" s="467"/>
      <c r="J19" s="468" t="s">
        <v>40</v>
      </c>
      <c r="K19" s="468"/>
      <c r="L19" s="469" t="s">
        <v>595</v>
      </c>
      <c r="M19" s="469"/>
      <c r="N19" s="466" t="s">
        <v>653</v>
      </c>
      <c r="O19" s="466"/>
      <c r="P19" s="470" t="s">
        <v>600</v>
      </c>
      <c r="Q19" s="470"/>
      <c r="R19" s="465" t="s">
        <v>615</v>
      </c>
      <c r="S19" s="465"/>
      <c r="U19" s="315" t="s">
        <v>618</v>
      </c>
      <c r="V19" s="315" t="s">
        <v>616</v>
      </c>
      <c r="W19" s="316"/>
    </row>
    <row r="20" spans="2:59" ht="15.75" x14ac:dyDescent="0.25">
      <c r="B20" s="328"/>
      <c r="C20" s="325"/>
      <c r="D20" s="325"/>
      <c r="E20" s="356"/>
      <c r="F20" s="326" t="s">
        <v>160</v>
      </c>
      <c r="G20" s="326" t="s">
        <v>391</v>
      </c>
      <c r="H20" s="342" t="s">
        <v>160</v>
      </c>
      <c r="I20" s="343" t="s">
        <v>8</v>
      </c>
      <c r="J20" s="342" t="s">
        <v>160</v>
      </c>
      <c r="K20" s="352" t="s">
        <v>8</v>
      </c>
      <c r="L20" s="342" t="s">
        <v>160</v>
      </c>
      <c r="M20" s="343" t="s">
        <v>8</v>
      </c>
      <c r="N20" s="342" t="s">
        <v>160</v>
      </c>
      <c r="O20" s="352" t="s">
        <v>8</v>
      </c>
      <c r="P20" s="342" t="s">
        <v>160</v>
      </c>
      <c r="Q20" s="352" t="s">
        <v>8</v>
      </c>
      <c r="R20" s="342" t="s">
        <v>160</v>
      </c>
      <c r="S20" s="352" t="s">
        <v>8</v>
      </c>
      <c r="U20" s="317" t="s">
        <v>160</v>
      </c>
      <c r="V20" s="317" t="s">
        <v>160</v>
      </c>
      <c r="W20" s="316"/>
    </row>
    <row r="21" spans="2:59" x14ac:dyDescent="0.2">
      <c r="B21" s="329" t="s">
        <v>735</v>
      </c>
      <c r="C21" s="333">
        <f>'Massanvaihto ja aumakäsittely'!C4</f>
        <v>0</v>
      </c>
      <c r="D21" s="353" t="s">
        <v>657</v>
      </c>
      <c r="E21" s="356"/>
      <c r="F21" s="334" t="str">
        <f>IF(SUM(C21:D21)=0,"",'Massanvaihto ja aumakäsittely'!U536)</f>
        <v/>
      </c>
      <c r="G21" s="335" t="str">
        <f>IF(F21=0,"",IF(ISERROR(F21/$D$12),"",F21/$D$12))</f>
        <v/>
      </c>
      <c r="H21" s="344" t="str">
        <f>IF(OR(C21=0,ISBLANK(C21)),"",'Massanvaihto ja aumakäsittely'!$U$530)</f>
        <v/>
      </c>
      <c r="I21" s="345" t="str">
        <f>IF(ISERROR(H21/F21),"",H21/F21)</f>
        <v/>
      </c>
      <c r="J21" s="344" t="str">
        <f>IF(OR(C21=0,ISBLANK(C21)),"",'Massanvaihto ja aumakäsittely'!$U$531)</f>
        <v/>
      </c>
      <c r="K21" s="345" t="str">
        <f>IF(ISERROR(J21/F21),"",J21/F21)</f>
        <v/>
      </c>
      <c r="L21" s="346" t="str">
        <f>IF(OR($C$21=0,ISBLANK($C$21)),"",'Massanvaihto ja aumakäsittely'!U532)</f>
        <v/>
      </c>
      <c r="M21" s="345" t="str">
        <f>IF(ISERROR(L21/F21),"",L21/F21)</f>
        <v/>
      </c>
      <c r="N21" s="344" t="str">
        <f>IF(OR(C21=0,ISBLANK(C21)),"",'Massanvaihto ja aumakäsittely'!$U$533)</f>
        <v/>
      </c>
      <c r="O21" s="345" t="str">
        <f>IF(ISERROR(N21/F21),"",N21/F21)</f>
        <v/>
      </c>
      <c r="P21" s="344" t="str">
        <f>IF(OR(C21=0,ISBLANK(C21)),"",'Massanvaihto ja aumakäsittely'!$U$534)</f>
        <v/>
      </c>
      <c r="Q21" s="345" t="str">
        <f>IF(ISERROR(P21/F21),"",P21/F21)</f>
        <v/>
      </c>
      <c r="R21" s="344" t="str">
        <f>IF(OR(C21=0,ISBLANK(C21)),"",'Massanvaihto ja aumakäsittely'!$U$535)</f>
        <v/>
      </c>
      <c r="S21" s="345" t="str">
        <f>IF(ISERROR(R21/F21),"",R21/F21)</f>
        <v/>
      </c>
      <c r="U21" s="319" t="str">
        <f>IF(OR(C21=0,ISBLANK(C21)),"",'Massanvaihto ja aumakäsittely'!Y539)</f>
        <v/>
      </c>
      <c r="V21" s="319" t="str">
        <f>IF(OR(C21=0,ISBLANK(C21)),"",'Massanvaihto ja aumakäsittely'!$Y$542)</f>
        <v/>
      </c>
      <c r="W21" s="316"/>
    </row>
    <row r="22" spans="2:59" x14ac:dyDescent="0.2">
      <c r="B22" s="330" t="s">
        <v>588</v>
      </c>
      <c r="C22" s="336">
        <f>Eristäminen!C4</f>
        <v>0</v>
      </c>
      <c r="D22" s="354" t="s">
        <v>657</v>
      </c>
      <c r="E22" s="356"/>
      <c r="F22" s="337" t="str">
        <f>IF(SUM(C22:D22)=0,"",Eristäminen!$U$467)</f>
        <v/>
      </c>
      <c r="G22" s="338" t="str">
        <f t="shared" ref="G22:G27" si="0">IF(F22=0,"",IF(ISERROR(F22/$D$12),"",F22/$D$12))</f>
        <v/>
      </c>
      <c r="H22" s="346" t="str">
        <f>IF(OR(C$22=0,ISBLANK(C$22)),"",Eristäminen!$U$461)</f>
        <v/>
      </c>
      <c r="I22" s="347" t="str">
        <f>IF(ISERROR(H22/F22),"",H22/F22)</f>
        <v/>
      </c>
      <c r="J22" s="346" t="str">
        <f>IF(OR($C$22=0,ISBLANK($C$22)),"",Eristäminen!$U$462)</f>
        <v/>
      </c>
      <c r="K22" s="347" t="str">
        <f>IF(ISERROR(J22/F22),"",J22/F22)</f>
        <v/>
      </c>
      <c r="L22" s="346" t="str">
        <f>IF(OR($C$22=0,ISBLANK($C$22)),"",Eristäminen!$U$463)</f>
        <v/>
      </c>
      <c r="M22" s="347" t="str">
        <f>IF(ISERROR(L22/F22),"",L22/F22)</f>
        <v/>
      </c>
      <c r="N22" s="346" t="str">
        <f>IF(OR($C$22=0,ISBLANK($C$22)),"",Eristäminen!$U$464)</f>
        <v/>
      </c>
      <c r="O22" s="347" t="str">
        <f>IF(ISERROR(N22/F22),"",N22/F22)</f>
        <v/>
      </c>
      <c r="P22" s="346" t="str">
        <f>IF(OR($C$22=0,ISBLANK($C$22)),"",Eristäminen!$U$465)</f>
        <v/>
      </c>
      <c r="Q22" s="347" t="str">
        <f>IF(ISERROR(P22/F22),"",P22/F22)</f>
        <v/>
      </c>
      <c r="R22" s="346" t="str">
        <f>IF(OR($C$22=0,ISBLANK($C$22)),"",Eristäminen!$U$466)</f>
        <v/>
      </c>
      <c r="S22" s="347" t="str">
        <f>IF(ISERROR(R22/F22),"",R22/F22)</f>
        <v/>
      </c>
      <c r="U22" s="319" t="str">
        <f>IF(OR(C22=0,ISBLANK(C22)),"",Eristäminen!Y470)</f>
        <v/>
      </c>
      <c r="V22" s="319" t="str">
        <f>IF(OR(C22=0,ISBLANK(C22)),"",Eristäminen!Y474)</f>
        <v/>
      </c>
      <c r="W22" s="316"/>
    </row>
    <row r="23" spans="2:59" x14ac:dyDescent="0.2">
      <c r="B23" s="330" t="s">
        <v>29</v>
      </c>
      <c r="C23" s="336">
        <f>Injektoinnit!C4</f>
        <v>0</v>
      </c>
      <c r="D23" s="336">
        <f>Injektoinnit!C5</f>
        <v>0</v>
      </c>
      <c r="E23" s="356"/>
      <c r="F23" s="337" t="str">
        <f>IF(SUM(C23:D23)=0,"",Injektoinnit!U468)</f>
        <v/>
      </c>
      <c r="G23" s="338" t="str">
        <f t="shared" si="0"/>
        <v/>
      </c>
      <c r="H23" s="346" t="str">
        <f>IF(OR(C23=0,ISBLANK(C23)),"",Injektoinnit!U469)</f>
        <v/>
      </c>
      <c r="I23" s="347" t="str">
        <f>IF(ISERROR(H23/F23),"",H23/F23)</f>
        <v/>
      </c>
      <c r="J23" s="346" t="str">
        <f>IF(OR(C23=0,ISBLANK(C23)),"",Injektoinnit!U470)</f>
        <v/>
      </c>
      <c r="K23" s="347" t="str">
        <f>IF(ISERROR(J23/F23),"",J23/F23)</f>
        <v/>
      </c>
      <c r="L23" s="346" t="str">
        <f>IF(OR(C23=0,ISBLANK(C23)),"",Injektoinnit!U471)</f>
        <v/>
      </c>
      <c r="M23" s="347" t="str">
        <f>IF(ISERROR(L23/F23),"",L23/F23)</f>
        <v/>
      </c>
      <c r="N23" s="346" t="str">
        <f>IF(OR(C23=0,ISBLANK(C23)),"",Injektoinnit!U472)</f>
        <v/>
      </c>
      <c r="O23" s="347" t="str">
        <f>IF(ISERROR(N23/F23),"",N23/F23)</f>
        <v/>
      </c>
      <c r="P23" s="346" t="str">
        <f>IF(OR(C23=0,ISBLANK(C23)),"",Injektoinnit!U472)</f>
        <v/>
      </c>
      <c r="Q23" s="347" t="str">
        <f>IF(ISERROR(P23/F23),"",P23/F23)</f>
        <v/>
      </c>
      <c r="R23" s="346" t="str">
        <f>IF(OR(C23=0,ISBLANK(C23)),"",Injektoinnit!U473)</f>
        <v/>
      </c>
      <c r="S23" s="347" t="str">
        <f>IF(ISERROR(R23/F23),"",R23/F23)</f>
        <v/>
      </c>
      <c r="U23" s="319" t="str">
        <f>IF(OR(C23=0,ISBLANK(C23)),"",Injektoinnit!Y477)</f>
        <v/>
      </c>
      <c r="V23" s="319" t="str">
        <f>IF(OR(C23=0,ISBLANK(C23)),"",Injektoinnit!Y481)</f>
        <v/>
      </c>
      <c r="W23" s="316"/>
    </row>
    <row r="24" spans="2:59" x14ac:dyDescent="0.2">
      <c r="B24" s="330" t="s">
        <v>30</v>
      </c>
      <c r="C24" s="336">
        <f>'Termiset menetelmät'!C4</f>
        <v>0</v>
      </c>
      <c r="D24" s="354" t="s">
        <v>657</v>
      </c>
      <c r="E24" s="356"/>
      <c r="F24" s="337" t="str">
        <f>IF(SUM(C24:D24)=0,"",'Termiset menetelmät'!U455)</f>
        <v/>
      </c>
      <c r="G24" s="338" t="str">
        <f t="shared" si="0"/>
        <v/>
      </c>
      <c r="H24" s="346" t="str">
        <f>IF(OR(C24=0,ISBLANK(C24)),"",'Termiset menetelmät'!$U$449)</f>
        <v/>
      </c>
      <c r="I24" s="347" t="str">
        <f t="shared" ref="I24:I27" si="1">IF(ISERROR(H24/F24),"",H24/F24)</f>
        <v/>
      </c>
      <c r="J24" s="346" t="str">
        <f>IF(OR(C24=0,ISBLANK(C24)),"",'Termiset menetelmät'!$U$450)</f>
        <v/>
      </c>
      <c r="K24" s="347" t="str">
        <f t="shared" ref="K24:K27" si="2">IF(ISERROR(J24/F24),"",J24/F24)</f>
        <v/>
      </c>
      <c r="L24" s="346" t="str">
        <f>IF(OR(C24=0,ISBLANK(C24)),"",'Termiset menetelmät'!$U$451)</f>
        <v/>
      </c>
      <c r="M24" s="347" t="str">
        <f t="shared" ref="M24:M27" si="3">IF(ISERROR(L24/F24),"",L24/F24)</f>
        <v/>
      </c>
      <c r="N24" s="346" t="str">
        <f>IF(OR(C24=0,ISBLANK(C24)),"",'Termiset menetelmät'!$U$452)</f>
        <v/>
      </c>
      <c r="O24" s="347" t="str">
        <f t="shared" ref="O24:O27" si="4">IF(ISERROR(N24/F24),"",N24/F24)</f>
        <v/>
      </c>
      <c r="P24" s="346" t="str">
        <f>IF(OR(C24=0,ISBLANK(C24)),"",'Termiset menetelmät'!$U$453)</f>
        <v/>
      </c>
      <c r="Q24" s="347" t="str">
        <f t="shared" ref="Q24:Q27" si="5">IF(ISERROR(P24/F24),"",P24/F24)</f>
        <v/>
      </c>
      <c r="R24" s="346" t="str">
        <f>IF(OR(C24=0,ISBLANK(C24)),"",'Termiset menetelmät'!$U$454)</f>
        <v/>
      </c>
      <c r="S24" s="347" t="str">
        <f t="shared" ref="S24:S27" si="6">IF(ISERROR(R24/F24),"",R24/F24)</f>
        <v/>
      </c>
      <c r="U24" s="319" t="str">
        <f>IF(OR(C24=0,ISBLANK(C24)),"",'Termiset menetelmät'!Y458)</f>
        <v/>
      </c>
      <c r="V24" s="319" t="str">
        <f>IF(OR(C24=0,ISBLANK(C24)),"",'Termiset menetelmät'!Y462)</f>
        <v/>
      </c>
      <c r="W24" s="316"/>
    </row>
    <row r="25" spans="2:59" x14ac:dyDescent="0.2">
      <c r="B25" s="330" t="s">
        <v>31</v>
      </c>
      <c r="C25" s="336">
        <f>Huokosilmakäsittely!C4</f>
        <v>0</v>
      </c>
      <c r="D25" s="354" t="s">
        <v>657</v>
      </c>
      <c r="E25" s="356"/>
      <c r="F25" s="337" t="str">
        <f>IF(SUM(C25:D25)=0,"",Huokosilmakäsittely!U472)</f>
        <v/>
      </c>
      <c r="G25" s="338" t="str">
        <f t="shared" si="0"/>
        <v/>
      </c>
      <c r="H25" s="346" t="str">
        <f>IF(OR(C25=0,ISBLANK(C25)),"",Huokosilmakäsittely!$U$466)</f>
        <v/>
      </c>
      <c r="I25" s="347" t="str">
        <f t="shared" si="1"/>
        <v/>
      </c>
      <c r="J25" s="346" t="str">
        <f>IF(OR(C25=0,ISBLANK(C25)),"",Huokosilmakäsittely!$U$467)</f>
        <v/>
      </c>
      <c r="K25" s="347" t="str">
        <f t="shared" si="2"/>
        <v/>
      </c>
      <c r="L25" s="346" t="str">
        <f>IF(OR(C25=0,ISBLANK(C25)),"",Huokosilmakäsittely!$U$468)</f>
        <v/>
      </c>
      <c r="M25" s="347" t="str">
        <f t="shared" si="3"/>
        <v/>
      </c>
      <c r="N25" s="346" t="str">
        <f>IF(OR(C25=0,ISBLANK(C25)),"",Huokosilmakäsittely!$U$469)</f>
        <v/>
      </c>
      <c r="O25" s="347" t="str">
        <f t="shared" si="4"/>
        <v/>
      </c>
      <c r="P25" s="346" t="str">
        <f>IF(OR(C25=0,ISBLANK(C25)),"",Huokosilmakäsittely!$U$470)</f>
        <v/>
      </c>
      <c r="Q25" s="347" t="str">
        <f t="shared" si="5"/>
        <v/>
      </c>
      <c r="R25" s="346" t="str">
        <f>IF(OR(C25=0,ISBLANK(C25)),"",Huokosilmakäsittely!$U$471)</f>
        <v/>
      </c>
      <c r="S25" s="347" t="str">
        <f t="shared" si="6"/>
        <v/>
      </c>
      <c r="U25" s="319" t="str">
        <f>IF(OR(C25=0,ISBLANK(C25)),"",Huokosilmakäsittely!Y475)</f>
        <v/>
      </c>
      <c r="V25" s="319" t="str">
        <f>IF(OR(C25=0,ISBLANK(C25)),"",Huokosilmakäsittely!Y479)</f>
        <v/>
      </c>
      <c r="W25" s="316"/>
    </row>
    <row r="26" spans="2:59" x14ac:dyDescent="0.2">
      <c r="B26" s="330" t="s">
        <v>32</v>
      </c>
      <c r="C26" s="336">
        <f>Fytoremediaatio!C4</f>
        <v>0</v>
      </c>
      <c r="D26" s="354" t="s">
        <v>657</v>
      </c>
      <c r="E26" s="356"/>
      <c r="F26" s="337" t="str">
        <f>IF(SUM(C26:D26)=0,"",Fytoremediaatio!U446)</f>
        <v/>
      </c>
      <c r="G26" s="338" t="str">
        <f t="shared" si="0"/>
        <v/>
      </c>
      <c r="H26" s="346" t="str">
        <f>IF(OR(C26=0,ISBLANK(C26)),"",Fytoremediaatio!$U$440)</f>
        <v/>
      </c>
      <c r="I26" s="347" t="str">
        <f t="shared" si="1"/>
        <v/>
      </c>
      <c r="J26" s="346" t="str">
        <f>IF(OR(C26=0,ISBLANK(C26)),"",Fytoremediaatio!$U$441)</f>
        <v/>
      </c>
      <c r="K26" s="347" t="str">
        <f t="shared" si="2"/>
        <v/>
      </c>
      <c r="L26" s="346" t="str">
        <f>IF(OR(C26=0,ISBLANK(C26)),"",Fytoremediaatio!$U$442)</f>
        <v/>
      </c>
      <c r="M26" s="347" t="str">
        <f t="shared" si="3"/>
        <v/>
      </c>
      <c r="N26" s="346" t="str">
        <f>IF(OR(C26=0,ISBLANK(C26)),"",Fytoremediaatio!$U$443)</f>
        <v/>
      </c>
      <c r="O26" s="347" t="str">
        <f t="shared" si="4"/>
        <v/>
      </c>
      <c r="P26" s="346" t="str">
        <f>IF(OR(C26=0,ISBLANK(C26)),"",Fytoremediaatio!$U$444)</f>
        <v/>
      </c>
      <c r="Q26" s="347" t="str">
        <f t="shared" si="5"/>
        <v/>
      </c>
      <c r="R26" s="346" t="str">
        <f>IF(OR(C26=0,ISBLANK(C26)),"",Fytoremediaatio!$U$445)</f>
        <v/>
      </c>
      <c r="S26" s="347" t="str">
        <f t="shared" si="6"/>
        <v/>
      </c>
      <c r="U26" s="319" t="str">
        <f>IF(OR(C26=0,ISBLANK(C26)),"",Fytoremediaatio!Y449)</f>
        <v/>
      </c>
      <c r="V26" s="319" t="str">
        <f>IF(OR(C26=0,ISBLANK(C26)),"",Fytoremediaatio!Y453)</f>
        <v/>
      </c>
      <c r="W26" s="316"/>
    </row>
    <row r="27" spans="2:59" x14ac:dyDescent="0.2">
      <c r="B27" s="331" t="s">
        <v>33</v>
      </c>
      <c r="C27" s="339">
        <f>'Luontaisen hajoamisen seuranta'!C4</f>
        <v>0</v>
      </c>
      <c r="D27" s="339">
        <f>'Luontaisen hajoamisen seuranta'!C5</f>
        <v>0</v>
      </c>
      <c r="E27" s="356"/>
      <c r="F27" s="340" t="str">
        <f>IF(SUM(C27:D27)=0,"",'Luontaisen hajoamisen seuranta'!U415)</f>
        <v/>
      </c>
      <c r="G27" s="341" t="str">
        <f t="shared" si="0"/>
        <v/>
      </c>
      <c r="H27" s="348" t="str">
        <f>IF(OR(C27=0,ISBLANK(C27)),"",'Luontaisen hajoamisen seuranta'!$U$409)</f>
        <v/>
      </c>
      <c r="I27" s="349" t="str">
        <f t="shared" si="1"/>
        <v/>
      </c>
      <c r="J27" s="348" t="str">
        <f>IF(OR(C27=0,ISBLANK(C27)),"",'Luontaisen hajoamisen seuranta'!$U$410)</f>
        <v/>
      </c>
      <c r="K27" s="349" t="str">
        <f t="shared" si="2"/>
        <v/>
      </c>
      <c r="L27" s="348" t="str">
        <f>IF(OR(C27=0,ISBLANK(C27)),"",'Luontaisen hajoamisen seuranta'!$U$411)</f>
        <v/>
      </c>
      <c r="M27" s="349" t="str">
        <f t="shared" si="3"/>
        <v/>
      </c>
      <c r="N27" s="348" t="str">
        <f>IF(OR(C27=0,ISBLANK(C27)),"",'Luontaisen hajoamisen seuranta'!$U$412)</f>
        <v/>
      </c>
      <c r="O27" s="349" t="str">
        <f t="shared" si="4"/>
        <v/>
      </c>
      <c r="P27" s="348" t="str">
        <f>IF(OR(C27=0,ISBLANK(C27)),"",'Luontaisen hajoamisen seuranta'!$U$413)</f>
        <v/>
      </c>
      <c r="Q27" s="349" t="str">
        <f t="shared" si="5"/>
        <v/>
      </c>
      <c r="R27" s="348" t="str">
        <f>IF(OR(C27=0,ISBLANK(C27)),"",'Luontaisen hajoamisen seuranta'!$U$414)</f>
        <v/>
      </c>
      <c r="S27" s="349" t="str">
        <f t="shared" si="6"/>
        <v/>
      </c>
      <c r="U27" s="319" t="str">
        <f>IF(OR(C27=0,ISBLANK(C27)),"",'Luontaisen hajoamisen seuranta'!Y419)</f>
        <v/>
      </c>
      <c r="V27" s="319" t="str">
        <f>IF(OR(C27=0,ISBLANK(C27)),"",'Luontaisen hajoamisen seuranta'!#REF!)</f>
        <v/>
      </c>
      <c r="W27" s="316"/>
    </row>
    <row r="28" spans="2:59" ht="15" x14ac:dyDescent="0.25">
      <c r="B28" s="327" t="s">
        <v>34</v>
      </c>
      <c r="C28" s="327"/>
      <c r="D28" s="327"/>
      <c r="E28" s="357"/>
      <c r="F28" s="332">
        <f>SUM(F21:F27)</f>
        <v>0</v>
      </c>
      <c r="G28" s="371">
        <f>SUM(G21:G27)</f>
        <v>0</v>
      </c>
      <c r="H28" s="350">
        <f>SUM(H21:H27)</f>
        <v>0</v>
      </c>
      <c r="I28" s="351"/>
      <c r="J28" s="350">
        <f>SUM(J21:J27)</f>
        <v>0</v>
      </c>
      <c r="K28" s="351"/>
      <c r="L28" s="350">
        <f>SUM(L21:L27)</f>
        <v>0</v>
      </c>
      <c r="M28" s="351"/>
      <c r="N28" s="350">
        <f>SUM(N21:N27)</f>
        <v>0</v>
      </c>
      <c r="O28" s="351"/>
      <c r="P28" s="350">
        <f>SUM(P21:P27)</f>
        <v>0</v>
      </c>
      <c r="Q28" s="351"/>
      <c r="R28" s="350">
        <f>SUM(R21:R27)</f>
        <v>0</v>
      </c>
      <c r="S28" s="351"/>
      <c r="U28" s="318">
        <f>SUM(U21:U27)</f>
        <v>0</v>
      </c>
      <c r="V28" s="318">
        <f>SUM(V21:V27)</f>
        <v>0</v>
      </c>
      <c r="W28" s="316"/>
    </row>
    <row r="29" spans="2:59" x14ac:dyDescent="0.2">
      <c r="U29" s="316"/>
      <c r="V29" s="316"/>
      <c r="W29" s="316"/>
    </row>
    <row r="30" spans="2:59" x14ac:dyDescent="0.2">
      <c r="U30" s="316"/>
      <c r="V30" s="316"/>
      <c r="W30" s="316"/>
    </row>
  </sheetData>
  <mergeCells count="8">
    <mergeCell ref="I6:J6"/>
    <mergeCell ref="I7:J7"/>
    <mergeCell ref="R19:S19"/>
    <mergeCell ref="N19:O19"/>
    <mergeCell ref="H19:I19"/>
    <mergeCell ref="J19:K19"/>
    <mergeCell ref="L19:M19"/>
    <mergeCell ref="P19:Q19"/>
  </mergeCells>
  <pageMargins left="0.70866141732283472" right="0.70866141732283472" top="0.74803149606299213" bottom="0.74803149606299213" header="0.31496062992125984" footer="0.31496062992125984"/>
  <pageSetup paperSize="8" scale="75" orientation="landscape" verticalDpi="0" r:id="rId1"/>
  <headerFooter>
    <oddHeader>&amp;L&amp;"-,Lihavoitu"&amp;12PIIP-laskentatyökalu&amp;RKohdetiedot ja yhteenveto
Sivu &amp;P/&amp;N</oddHeader>
    <oddFooter>&amp;L&amp;G&amp;R&amp;G</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6BF3-976E-4B95-B458-B319E15D587F}">
  <sheetPr codeName="Sheet3">
    <tabColor theme="5" tint="0.79998168889431442"/>
  </sheetPr>
  <dimension ref="A1:BD545"/>
  <sheetViews>
    <sheetView zoomScale="85" zoomScaleNormal="85" workbookViewId="0">
      <pane xSplit="1" ySplit="5" topLeftCell="B6" activePane="bottomRight" state="frozen"/>
      <selection pane="topRight" activeCell="B1" sqref="B1"/>
      <selection pane="bottomLeft" activeCell="A6" sqref="A6"/>
      <selection pane="bottomRight" activeCell="C4" sqref="C4"/>
    </sheetView>
  </sheetViews>
  <sheetFormatPr defaultColWidth="9" defaultRowHeight="13.9" customHeight="1" x14ac:dyDescent="0.2"/>
  <cols>
    <col min="1" max="1" width="2.75" style="5" customWidth="1"/>
    <col min="2" max="2" width="86.375" style="5" customWidth="1"/>
    <col min="3" max="3" width="19.25" style="12" customWidth="1"/>
    <col min="4" max="4" width="12.75" style="84" bestFit="1" customWidth="1"/>
    <col min="5" max="5" width="2.25" style="5" customWidth="1"/>
    <col min="6" max="6" width="3.75" style="5" customWidth="1"/>
    <col min="7" max="7" width="20.75" style="12" customWidth="1"/>
    <col min="8" max="8" width="9.75" style="84" customWidth="1"/>
    <col min="9" max="9" width="5.625" style="5" customWidth="1"/>
    <col min="10" max="10" width="60.75" style="14" customWidth="1"/>
    <col min="11" max="12" width="15.75" style="5" customWidth="1"/>
    <col min="13" max="13" width="11" style="5" bestFit="1" customWidth="1"/>
    <col min="14" max="14" width="2.625" style="5" customWidth="1"/>
    <col min="15" max="15" width="80.625" style="252" customWidth="1"/>
    <col min="16" max="16" width="2.75" style="148" customWidth="1"/>
    <col min="17" max="17" width="2.75" style="140" customWidth="1"/>
    <col min="18" max="18" width="15.75" style="139" customWidth="1"/>
    <col min="19" max="19" width="15.75" style="140" customWidth="1"/>
    <col min="20" max="20" width="26.875" style="22" bestFit="1" customWidth="1"/>
    <col min="21" max="34" width="25.75" style="21" customWidth="1"/>
    <col min="35" max="36" width="15.75" style="21" customWidth="1"/>
    <col min="37" max="38" width="9" style="21"/>
    <col min="39" max="54" width="9" style="22"/>
    <col min="55" max="56" width="9" style="388"/>
    <col min="57" max="16384" width="9" style="5"/>
  </cols>
  <sheetData>
    <row r="1" spans="1:56" s="30" customFormat="1" ht="15" x14ac:dyDescent="0.2">
      <c r="C1" s="33"/>
      <c r="D1" s="81"/>
      <c r="G1" s="33"/>
      <c r="H1" s="81"/>
      <c r="J1" s="32"/>
      <c r="O1" s="167"/>
      <c r="P1" s="67"/>
      <c r="Q1" s="104"/>
      <c r="R1" s="35"/>
      <c r="S1" s="35"/>
      <c r="T1" s="36"/>
      <c r="U1" s="35"/>
      <c r="V1" s="35"/>
      <c r="W1" s="35"/>
      <c r="X1" s="35"/>
      <c r="Y1" s="35"/>
      <c r="Z1" s="35"/>
      <c r="AA1" s="35"/>
      <c r="AB1" s="35"/>
      <c r="AC1" s="35"/>
      <c r="AD1" s="35"/>
      <c r="AE1" s="35"/>
      <c r="AF1" s="35"/>
      <c r="AG1" s="35"/>
      <c r="AH1" s="35"/>
      <c r="AI1" s="35"/>
      <c r="AJ1" s="35"/>
      <c r="AK1" s="35"/>
      <c r="AL1" s="35"/>
      <c r="AM1" s="36"/>
      <c r="AN1" s="36"/>
      <c r="AO1" s="36"/>
      <c r="AP1" s="36"/>
      <c r="AQ1" s="36"/>
      <c r="AR1" s="36"/>
      <c r="AS1" s="36"/>
      <c r="AT1" s="36"/>
      <c r="AU1" s="36"/>
      <c r="AV1" s="36"/>
      <c r="AW1" s="36"/>
      <c r="AX1" s="36"/>
      <c r="AY1" s="36"/>
      <c r="AZ1" s="36"/>
      <c r="BA1" s="36"/>
      <c r="BB1" s="36"/>
      <c r="BC1" s="54"/>
      <c r="BD1" s="54"/>
    </row>
    <row r="2" spans="1:56" s="24" customFormat="1" ht="30.75" x14ac:dyDescent="0.2">
      <c r="B2" s="7" t="s">
        <v>24</v>
      </c>
      <c r="C2" s="26"/>
      <c r="D2" s="82"/>
      <c r="F2" s="436" t="s">
        <v>583</v>
      </c>
      <c r="G2" s="437" t="str">
        <f>IF(ISNUMBER(C4),U536,"")</f>
        <v/>
      </c>
      <c r="H2" s="438" t="s">
        <v>160</v>
      </c>
      <c r="I2" s="30"/>
      <c r="J2" s="25"/>
      <c r="O2" s="247"/>
      <c r="P2" s="142"/>
      <c r="Q2" s="137"/>
      <c r="R2" s="59"/>
      <c r="S2" s="98"/>
      <c r="T2" s="29"/>
      <c r="U2" s="28"/>
      <c r="V2" s="28"/>
      <c r="W2" s="28"/>
      <c r="X2" s="28"/>
      <c r="Y2" s="28"/>
      <c r="Z2" s="28"/>
      <c r="AA2" s="28"/>
      <c r="AB2" s="28"/>
      <c r="AC2" s="28"/>
      <c r="AD2" s="28"/>
      <c r="AE2" s="28"/>
      <c r="AF2" s="28"/>
      <c r="AG2" s="28"/>
      <c r="AH2" s="28"/>
      <c r="AI2" s="28"/>
      <c r="AJ2" s="28"/>
      <c r="AK2" s="28"/>
      <c r="AL2" s="28"/>
      <c r="AM2" s="29"/>
      <c r="AN2" s="29"/>
      <c r="AO2" s="29"/>
      <c r="AP2" s="29"/>
      <c r="AQ2" s="29"/>
      <c r="AR2" s="29"/>
      <c r="AS2" s="29"/>
      <c r="AT2" s="29"/>
      <c r="AU2" s="29"/>
      <c r="AV2" s="29"/>
      <c r="AW2" s="29"/>
      <c r="AX2" s="29"/>
      <c r="AY2" s="29"/>
      <c r="AZ2" s="29"/>
      <c r="BA2" s="29"/>
      <c r="BB2" s="29"/>
      <c r="BC2" s="322"/>
      <c r="BD2" s="322"/>
    </row>
    <row r="3" spans="1:56" s="30" customFormat="1" ht="15" x14ac:dyDescent="0.2">
      <c r="C3" s="33"/>
      <c r="D3" s="81"/>
      <c r="G3" s="33"/>
      <c r="H3" s="81"/>
      <c r="J3" s="32"/>
      <c r="O3" s="167"/>
      <c r="P3" s="67"/>
      <c r="Q3" s="104"/>
      <c r="R3" s="94"/>
      <c r="S3" s="104"/>
      <c r="T3" s="36"/>
      <c r="U3" s="35"/>
      <c r="V3" s="35"/>
      <c r="W3" s="35"/>
      <c r="X3" s="35"/>
      <c r="Y3" s="35"/>
      <c r="Z3" s="35"/>
      <c r="AA3" s="35"/>
      <c r="AB3" s="35"/>
      <c r="AC3" s="35"/>
      <c r="AD3" s="35"/>
      <c r="AE3" s="35"/>
      <c r="AF3" s="35"/>
      <c r="AG3" s="35"/>
      <c r="AH3" s="35"/>
      <c r="AI3" s="35"/>
      <c r="AJ3" s="35"/>
      <c r="AK3" s="35"/>
      <c r="AL3" s="35"/>
      <c r="AM3" s="36"/>
      <c r="AN3" s="36"/>
      <c r="AO3" s="36"/>
      <c r="AP3" s="36"/>
      <c r="AQ3" s="36"/>
      <c r="AR3" s="36"/>
      <c r="AS3" s="36"/>
      <c r="AT3" s="36"/>
      <c r="AU3" s="36"/>
      <c r="AV3" s="36"/>
      <c r="AW3" s="36"/>
      <c r="AX3" s="36"/>
      <c r="AY3" s="36"/>
      <c r="AZ3" s="36"/>
      <c r="BA3" s="36"/>
      <c r="BB3" s="36"/>
      <c r="BC3" s="54"/>
      <c r="BD3" s="54"/>
    </row>
    <row r="4" spans="1:56" s="30" customFormat="1" ht="24.95" customHeight="1" x14ac:dyDescent="0.2">
      <c r="B4" s="79" t="s">
        <v>677</v>
      </c>
      <c r="C4" s="150"/>
      <c r="D4" s="81" t="str">
        <f>IF(ISBLANK(C4),"%","")</f>
        <v>%</v>
      </c>
      <c r="G4" s="171" t="str">
        <f>IF(ISNUMBER(C4),C4*'Kohdetiedot ja yhteenveto'!D12,"")</f>
        <v/>
      </c>
      <c r="H4" s="81" t="s">
        <v>619</v>
      </c>
      <c r="J4" s="32"/>
      <c r="O4" s="167"/>
      <c r="P4" s="67"/>
      <c r="Q4" s="104"/>
      <c r="R4" s="94"/>
      <c r="S4" s="104"/>
      <c r="T4" s="36"/>
      <c r="U4" s="35"/>
      <c r="V4" s="35"/>
      <c r="W4" s="35"/>
      <c r="X4" s="35"/>
      <c r="Y4" s="35"/>
      <c r="Z4" s="35"/>
      <c r="AA4" s="35"/>
      <c r="AB4" s="35"/>
      <c r="AC4" s="35"/>
      <c r="AD4" s="35"/>
      <c r="AE4" s="35"/>
      <c r="AF4" s="35"/>
      <c r="AG4" s="35"/>
      <c r="AH4" s="35"/>
      <c r="AI4" s="35"/>
      <c r="AJ4" s="35"/>
      <c r="AK4" s="35"/>
      <c r="AL4" s="35"/>
      <c r="AM4" s="36"/>
      <c r="AN4" s="36"/>
      <c r="AO4" s="36"/>
      <c r="AP4" s="36"/>
      <c r="AQ4" s="36"/>
      <c r="AR4" s="36"/>
      <c r="AS4" s="36"/>
      <c r="AT4" s="36"/>
      <c r="AU4" s="36"/>
      <c r="AV4" s="36"/>
      <c r="AW4" s="36"/>
      <c r="AX4" s="36"/>
      <c r="AY4" s="36"/>
      <c r="AZ4" s="36"/>
      <c r="BA4" s="36"/>
      <c r="BB4" s="36"/>
      <c r="BC4" s="54"/>
      <c r="BD4" s="54"/>
    </row>
    <row r="5" spans="1:56" s="30" customFormat="1" ht="15" x14ac:dyDescent="0.2">
      <c r="C5" s="33"/>
      <c r="D5" s="81"/>
      <c r="G5" s="33"/>
      <c r="H5" s="81"/>
      <c r="J5" s="32"/>
      <c r="O5" s="167"/>
      <c r="P5" s="67"/>
      <c r="Q5" s="104"/>
      <c r="R5" s="94"/>
      <c r="S5" s="104"/>
      <c r="T5" s="36"/>
      <c r="U5" s="35"/>
      <c r="V5" s="35"/>
      <c r="W5" s="35"/>
      <c r="X5" s="35"/>
      <c r="Y5" s="35"/>
      <c r="Z5" s="35"/>
      <c r="AA5" s="35"/>
      <c r="AB5" s="35"/>
      <c r="AC5" s="35"/>
      <c r="AD5" s="35"/>
      <c r="AE5" s="35"/>
      <c r="AF5" s="35"/>
      <c r="AG5" s="35"/>
      <c r="AH5" s="35"/>
      <c r="AI5" s="35"/>
      <c r="AJ5" s="35"/>
      <c r="AK5" s="35"/>
      <c r="AL5" s="35"/>
      <c r="AM5" s="36"/>
      <c r="AN5" s="36"/>
      <c r="AO5" s="36"/>
      <c r="AP5" s="36"/>
      <c r="AQ5" s="36"/>
      <c r="AR5" s="36"/>
      <c r="AS5" s="36"/>
      <c r="AT5" s="36"/>
      <c r="AU5" s="36"/>
      <c r="AV5" s="36"/>
      <c r="AW5" s="36"/>
      <c r="AX5" s="36"/>
      <c r="AY5" s="36"/>
      <c r="AZ5" s="36"/>
      <c r="BA5" s="36"/>
      <c r="BB5" s="36"/>
      <c r="BC5" s="54"/>
      <c r="BD5" s="54"/>
    </row>
    <row r="6" spans="1:56" s="192" customFormat="1" ht="23.25" x14ac:dyDescent="0.2">
      <c r="B6" s="193" t="s">
        <v>515</v>
      </c>
      <c r="C6" s="194"/>
      <c r="D6" s="195"/>
      <c r="G6" s="194"/>
      <c r="H6" s="195"/>
      <c r="J6" s="196"/>
      <c r="O6" s="248"/>
      <c r="P6" s="197"/>
      <c r="Q6" s="198"/>
      <c r="R6" s="199"/>
      <c r="S6" s="198"/>
      <c r="T6" s="200"/>
      <c r="U6" s="201"/>
      <c r="V6" s="201"/>
      <c r="W6" s="201"/>
      <c r="X6" s="201"/>
      <c r="Y6" s="201"/>
      <c r="Z6" s="201"/>
      <c r="AA6" s="201"/>
      <c r="AB6" s="201"/>
      <c r="AC6" s="201"/>
      <c r="AD6" s="201"/>
      <c r="AE6" s="201"/>
      <c r="AF6" s="201"/>
      <c r="AG6" s="201"/>
      <c r="AH6" s="201"/>
      <c r="AI6" s="201"/>
      <c r="AJ6" s="201"/>
      <c r="AK6" s="201"/>
      <c r="AL6" s="201"/>
      <c r="AM6" s="200"/>
      <c r="AN6" s="200"/>
      <c r="AO6" s="200"/>
      <c r="AP6" s="200"/>
      <c r="AQ6" s="200"/>
      <c r="AR6" s="200"/>
      <c r="AS6" s="200"/>
      <c r="AT6" s="200"/>
      <c r="AU6" s="200"/>
      <c r="AV6" s="200"/>
      <c r="AW6" s="200"/>
      <c r="AX6" s="200"/>
      <c r="AY6" s="200"/>
      <c r="AZ6" s="200"/>
      <c r="BA6" s="200"/>
      <c r="BB6" s="200"/>
      <c r="BC6" s="387"/>
      <c r="BD6" s="387"/>
    </row>
    <row r="7" spans="1:56" s="30" customFormat="1" ht="15" x14ac:dyDescent="0.2">
      <c r="C7" s="33"/>
      <c r="D7" s="81"/>
      <c r="G7" s="33"/>
      <c r="H7" s="81"/>
      <c r="J7" s="32"/>
      <c r="O7" s="167"/>
      <c r="P7" s="67"/>
      <c r="Q7" s="104"/>
      <c r="R7" s="94"/>
      <c r="S7" s="104"/>
      <c r="T7" s="36"/>
      <c r="U7" s="35"/>
      <c r="V7" s="35"/>
      <c r="W7" s="35"/>
      <c r="X7" s="35"/>
      <c r="Y7" s="35"/>
      <c r="Z7" s="35"/>
      <c r="AA7" s="35"/>
      <c r="AB7" s="35"/>
      <c r="AC7" s="35"/>
      <c r="AD7" s="35"/>
      <c r="AE7" s="35"/>
      <c r="AF7" s="35"/>
      <c r="AG7" s="35"/>
      <c r="AH7" s="35"/>
      <c r="AI7" s="35"/>
      <c r="AJ7" s="35"/>
      <c r="AK7" s="35"/>
      <c r="AL7" s="35"/>
      <c r="AM7" s="36"/>
      <c r="AN7" s="36"/>
      <c r="AO7" s="36"/>
      <c r="AP7" s="36"/>
      <c r="AQ7" s="36"/>
      <c r="AR7" s="36"/>
      <c r="AS7" s="36"/>
      <c r="AT7" s="36"/>
      <c r="AU7" s="36"/>
      <c r="AV7" s="36"/>
      <c r="AW7" s="36"/>
      <c r="AX7" s="36"/>
      <c r="AY7" s="36"/>
      <c r="AZ7" s="36"/>
      <c r="BA7" s="36"/>
      <c r="BB7" s="36"/>
      <c r="BC7" s="54"/>
      <c r="BD7" s="54"/>
    </row>
    <row r="8" spans="1:56" s="30" customFormat="1" ht="18" x14ac:dyDescent="0.2">
      <c r="A8" s="289"/>
      <c r="B8" s="286" t="s">
        <v>629</v>
      </c>
      <c r="C8" s="287"/>
      <c r="D8" s="288"/>
      <c r="E8" s="289"/>
      <c r="F8" s="289"/>
      <c r="G8" s="287"/>
      <c r="H8" s="288"/>
      <c r="I8" s="289"/>
      <c r="J8" s="289"/>
      <c r="K8" s="287"/>
      <c r="L8" s="287"/>
      <c r="M8" s="288"/>
      <c r="N8" s="288"/>
      <c r="O8" s="291"/>
      <c r="P8" s="311"/>
      <c r="Q8" s="295"/>
      <c r="R8" s="289"/>
      <c r="S8" s="294"/>
      <c r="T8" s="294"/>
      <c r="U8" s="294"/>
      <c r="V8" s="294"/>
      <c r="W8" s="294"/>
      <c r="X8" s="294"/>
      <c r="Y8" s="294"/>
      <c r="Z8" s="294"/>
      <c r="AA8" s="294"/>
      <c r="AB8" s="294"/>
      <c r="AC8" s="294"/>
      <c r="AD8" s="294"/>
      <c r="AE8" s="294"/>
      <c r="AF8" s="294"/>
      <c r="AG8" s="294"/>
      <c r="AH8" s="294"/>
      <c r="AI8" s="294"/>
      <c r="AJ8" s="294"/>
      <c r="AK8" s="295"/>
      <c r="AL8" s="295"/>
      <c r="AM8" s="295"/>
      <c r="AN8" s="295"/>
      <c r="AO8" s="295"/>
      <c r="AP8" s="295"/>
      <c r="AQ8" s="295"/>
      <c r="AR8" s="295"/>
      <c r="AS8" s="295"/>
      <c r="AT8" s="295"/>
      <c r="AU8" s="295"/>
      <c r="AV8" s="295"/>
      <c r="AW8" s="295"/>
      <c r="AX8" s="295"/>
      <c r="AY8" s="295"/>
      <c r="AZ8" s="295"/>
      <c r="BA8" s="295"/>
      <c r="BB8" s="295"/>
    </row>
    <row r="9" spans="1:56" s="30" customFormat="1" ht="15.75" x14ac:dyDescent="0.2">
      <c r="B9" s="8"/>
      <c r="C9" s="33"/>
      <c r="D9" s="81"/>
      <c r="G9" s="33"/>
      <c r="H9" s="81"/>
      <c r="K9" s="37"/>
      <c r="L9" s="37"/>
      <c r="M9" s="81"/>
      <c r="N9" s="81"/>
      <c r="O9" s="249"/>
      <c r="Q9" s="34"/>
      <c r="R9" s="35" t="s">
        <v>318</v>
      </c>
      <c r="S9" s="35"/>
      <c r="T9" s="35"/>
      <c r="U9" s="35"/>
      <c r="V9" s="35"/>
      <c r="W9" s="35"/>
      <c r="X9" s="35"/>
      <c r="Y9" s="35"/>
      <c r="Z9" s="35"/>
      <c r="AA9" s="35"/>
      <c r="AB9" s="35"/>
      <c r="AC9" s="35"/>
      <c r="AD9" s="35"/>
      <c r="AE9" s="35"/>
      <c r="AF9" s="35"/>
      <c r="AG9" s="35"/>
      <c r="AH9" s="35"/>
      <c r="AI9" s="35"/>
      <c r="AJ9" s="35"/>
      <c r="AK9" s="36"/>
      <c r="AL9" s="36"/>
      <c r="AM9" s="36"/>
      <c r="AN9" s="36"/>
      <c r="AO9" s="36"/>
      <c r="AP9" s="36"/>
      <c r="AQ9" s="36"/>
      <c r="AR9" s="36"/>
      <c r="AS9" s="36"/>
      <c r="AT9" s="36"/>
      <c r="AU9" s="36"/>
      <c r="AV9" s="36"/>
      <c r="AW9" s="36"/>
      <c r="AX9" s="36"/>
      <c r="AY9" s="36"/>
      <c r="AZ9" s="36"/>
      <c r="BA9" s="36"/>
      <c r="BB9" s="36"/>
    </row>
    <row r="10" spans="1:56" s="30" customFormat="1" ht="15" x14ac:dyDescent="0.2">
      <c r="B10" s="168" t="s">
        <v>392</v>
      </c>
      <c r="C10" s="33"/>
      <c r="D10" s="81"/>
      <c r="G10" s="33"/>
      <c r="H10" s="81"/>
      <c r="K10" s="37" t="s">
        <v>297</v>
      </c>
      <c r="L10" s="37" t="s">
        <v>185</v>
      </c>
      <c r="M10" s="81"/>
      <c r="N10" s="81"/>
      <c r="O10" s="249" t="s">
        <v>584</v>
      </c>
      <c r="Q10" s="34"/>
      <c r="R10" s="35" t="s">
        <v>160</v>
      </c>
      <c r="S10" s="35"/>
      <c r="T10" s="35" t="s">
        <v>400</v>
      </c>
      <c r="U10" s="35" t="s">
        <v>399</v>
      </c>
      <c r="V10" s="35" t="s">
        <v>397</v>
      </c>
      <c r="W10" s="35" t="s">
        <v>398</v>
      </c>
      <c r="X10" s="35" t="s">
        <v>401</v>
      </c>
      <c r="Y10" s="35" t="s">
        <v>403</v>
      </c>
      <c r="Z10" s="35" t="s">
        <v>402</v>
      </c>
      <c r="AA10" s="35" t="s">
        <v>186</v>
      </c>
      <c r="AB10" s="35" t="s">
        <v>345</v>
      </c>
      <c r="AC10" s="35" t="s">
        <v>404</v>
      </c>
      <c r="AD10" s="35" t="s">
        <v>346</v>
      </c>
      <c r="AE10" s="35" t="s">
        <v>405</v>
      </c>
      <c r="AF10" s="35" t="s">
        <v>406</v>
      </c>
      <c r="AG10" s="35" t="s">
        <v>578</v>
      </c>
      <c r="AH10" s="104"/>
      <c r="AI10" s="35"/>
      <c r="AJ10" s="35"/>
      <c r="AK10" s="36"/>
      <c r="AL10" s="36"/>
      <c r="AM10" s="36"/>
      <c r="AN10" s="36"/>
      <c r="AO10" s="36"/>
      <c r="AP10" s="36"/>
      <c r="AQ10" s="36"/>
      <c r="AR10" s="36"/>
      <c r="AS10" s="36"/>
      <c r="AT10" s="36"/>
      <c r="AU10" s="36"/>
      <c r="AV10" s="36"/>
      <c r="AW10" s="36"/>
      <c r="AX10" s="36"/>
      <c r="AY10" s="36"/>
      <c r="AZ10" s="36"/>
      <c r="BA10" s="36"/>
      <c r="BB10" s="36"/>
    </row>
    <row r="11" spans="1:56" s="30" customFormat="1" ht="30" x14ac:dyDescent="0.2">
      <c r="B11" s="166" t="s">
        <v>455</v>
      </c>
      <c r="C11" s="471" t="s">
        <v>298</v>
      </c>
      <c r="D11" s="472"/>
      <c r="E11" s="472"/>
      <c r="F11" s="472"/>
      <c r="G11" s="473"/>
      <c r="H11" s="165"/>
      <c r="J11" s="169" t="s">
        <v>395</v>
      </c>
      <c r="K11" s="92" t="str">
        <f>IFERROR(IF(ISNUMBER(L11),L11,(VLOOKUP(C11,Kalusto!$C$45:$L$84,5,FALSE)*(VLOOKUP(C12,Muut!$D$40:$E$43,2,FALSE)))),"--")</f>
        <v>--</v>
      </c>
      <c r="L11" s="39"/>
      <c r="M11" s="40" t="s">
        <v>184</v>
      </c>
      <c r="N11" s="40"/>
      <c r="O11" s="250"/>
      <c r="Q11" s="45"/>
      <c r="R11" s="48" t="str">
        <f>IF(AND(NOT(ISNUMBER(AB11)),NOT(ISNUMBER(AG11))),"",IF(ISNUMBER(AB11),AB11,0)+IF(ISNUMBER(AG11),AG11,0))</f>
        <v/>
      </c>
      <c r="S11" s="98" t="s">
        <v>438</v>
      </c>
      <c r="T11" s="46" t="str">
        <f>IFERROR(IF(ISNUMBER(L11),"Kohdetieto",VLOOKUP(C11,Kalusto!$C$45:$L$84,7,FALSE)),"--")</f>
        <v>--</v>
      </c>
      <c r="U11" s="46" t="str">
        <f>IFERROR(IF(ISNUMBER(L11),"Kohdetieto",VLOOKUP(C11,Kalusto!$C$45:$L$84,8,FALSE)),"--")</f>
        <v>--</v>
      </c>
      <c r="V11" s="47" t="str">
        <f>IFERROR(IF(ISNUMBER(L11),"Kohdetieto",VLOOKUP(C11,Kalusto!$C$45:$L$84,9,FALSE)),"--")</f>
        <v>--</v>
      </c>
      <c r="W11" s="47" t="str">
        <f>IFERROR(IF(ISNUMBER(L11),"Kohdetieto",VLOOKUP(C11,Kalusto!$C$45:$L$84,10,FALSE)),"--")</f>
        <v>--</v>
      </c>
      <c r="X11" s="48" t="str">
        <f>IF(ISBLANK(C13),"",C13)</f>
        <v/>
      </c>
      <c r="Y11" s="46" t="str">
        <f>IF(ISNUMBER(C14),C14,"")</f>
        <v/>
      </c>
      <c r="Z11" s="48" t="str">
        <f>IF(ISNUMBER(X11/(U11*V11)*Y11),X11/(U11*V11)*Y11,"")</f>
        <v/>
      </c>
      <c r="AA11" s="49" t="str">
        <f>IF(ISNUMBER(L11),L11,K11)</f>
        <v>--</v>
      </c>
      <c r="AB11" s="48" t="str">
        <f>IF(ISNUMBER(Y11*X11*K11),Y11*X11*K11,"")</f>
        <v/>
      </c>
      <c r="AC11" s="48" t="str">
        <f>IF(C$26="Kyllä",Y11,"")</f>
        <v/>
      </c>
      <c r="AD11" s="48" t="str">
        <f>IF(C$26="Kyllä",IF(ISNUMBER(X11/(U11*V11)),CEILING(X11/(U11*V11),1),""),"")</f>
        <v/>
      </c>
      <c r="AE11" s="48" t="str">
        <f>IF(ISNUMBER(AD11*AC11),AD11*AC11,"")</f>
        <v/>
      </c>
      <c r="AF11" s="49" t="str">
        <f>IF(ISNUMBER(L13),L13,K13)</f>
        <v>--</v>
      </c>
      <c r="AG11" s="48" t="str">
        <f>IF(ISNUMBER(AC11*AD11*K13),AC11*AD11*K13,"")</f>
        <v/>
      </c>
      <c r="AH11" s="104"/>
      <c r="AI11" s="35"/>
      <c r="AJ11" s="35"/>
      <c r="AK11" s="36"/>
      <c r="AL11" s="36"/>
      <c r="AM11" s="36"/>
      <c r="AN11" s="36"/>
      <c r="AO11" s="36"/>
      <c r="AP11" s="36"/>
      <c r="AQ11" s="36"/>
      <c r="AR11" s="36"/>
      <c r="AS11" s="36"/>
      <c r="AT11" s="36"/>
      <c r="AU11" s="36"/>
      <c r="AV11" s="36"/>
      <c r="AW11" s="36"/>
      <c r="AX11" s="36"/>
      <c r="AY11" s="36"/>
      <c r="AZ11" s="36"/>
      <c r="BA11" s="36"/>
      <c r="BB11" s="36"/>
    </row>
    <row r="12" spans="1:56" s="30" customFormat="1" ht="15" x14ac:dyDescent="0.2">
      <c r="B12" s="182" t="s">
        <v>457</v>
      </c>
      <c r="C12" s="156" t="s">
        <v>309</v>
      </c>
      <c r="D12" s="33"/>
      <c r="E12" s="33"/>
      <c r="F12" s="33"/>
      <c r="G12" s="33"/>
      <c r="H12" s="57"/>
      <c r="J12" s="169"/>
      <c r="K12" s="169"/>
      <c r="L12" s="169"/>
      <c r="M12" s="40"/>
      <c r="N12" s="40"/>
      <c r="O12" s="250"/>
      <c r="Q12" s="45"/>
      <c r="R12" s="35"/>
      <c r="S12" s="35"/>
      <c r="T12" s="35"/>
      <c r="U12" s="35"/>
      <c r="V12" s="177"/>
      <c r="W12" s="177"/>
      <c r="X12" s="59"/>
      <c r="Y12" s="35"/>
      <c r="Z12" s="59"/>
      <c r="AA12" s="178"/>
      <c r="AB12" s="59"/>
      <c r="AC12" s="59"/>
      <c r="AD12" s="59"/>
      <c r="AE12" s="59"/>
      <c r="AF12" s="178"/>
      <c r="AG12" s="59"/>
      <c r="AH12" s="104"/>
      <c r="AI12" s="35"/>
      <c r="AJ12" s="35"/>
      <c r="AK12" s="36"/>
      <c r="AL12" s="36"/>
      <c r="AM12" s="36"/>
      <c r="AN12" s="36"/>
      <c r="AO12" s="36"/>
      <c r="AP12" s="36"/>
      <c r="AQ12" s="36"/>
      <c r="AR12" s="36"/>
      <c r="AS12" s="36"/>
      <c r="AT12" s="36"/>
      <c r="AU12" s="36"/>
      <c r="AV12" s="36"/>
      <c r="AW12" s="36"/>
      <c r="AX12" s="36"/>
      <c r="AY12" s="36"/>
      <c r="AZ12" s="36"/>
      <c r="BA12" s="36"/>
      <c r="BB12" s="36"/>
    </row>
    <row r="13" spans="1:56" s="30" customFormat="1" ht="15" x14ac:dyDescent="0.2">
      <c r="B13" s="44" t="s">
        <v>521</v>
      </c>
      <c r="C13" s="152"/>
      <c r="D13" s="81" t="s">
        <v>52</v>
      </c>
      <c r="G13" s="33"/>
      <c r="H13" s="81"/>
      <c r="J13" s="32" t="s">
        <v>396</v>
      </c>
      <c r="K13" s="92" t="str">
        <f>IFERROR(IF(ISNUMBER(L13),L13,IF($C$26="Ei","",(VLOOKUP(C11,Kalusto!$C$45:$V$84,19,FALSE)*(VLOOKUP($C$12,Muut!$D$40:$E$43,2,FALSE))))),"--")</f>
        <v>--</v>
      </c>
      <c r="L13" s="39"/>
      <c r="M13" s="40" t="s">
        <v>188</v>
      </c>
      <c r="N13" s="40"/>
      <c r="O13" s="250"/>
      <c r="P13" s="33"/>
      <c r="Q13" s="50"/>
      <c r="R13" s="48" t="str">
        <f>IF(ISNUMBER(R11),R11,"")</f>
        <v/>
      </c>
      <c r="S13" s="98" t="s">
        <v>439</v>
      </c>
      <c r="T13" s="35"/>
      <c r="U13" s="35"/>
      <c r="V13" s="35"/>
      <c r="W13" s="35"/>
      <c r="X13" s="35"/>
      <c r="Y13" s="35"/>
      <c r="Z13" s="35"/>
      <c r="AA13" s="35"/>
      <c r="AB13" s="35"/>
      <c r="AC13" s="35"/>
      <c r="AD13" s="35"/>
      <c r="AE13" s="35"/>
      <c r="AF13" s="35"/>
      <c r="AG13" s="35"/>
      <c r="AH13" s="104"/>
      <c r="AI13" s="35"/>
      <c r="AJ13" s="35"/>
      <c r="AK13" s="36"/>
      <c r="AL13" s="36"/>
      <c r="AM13" s="36"/>
      <c r="AN13" s="36"/>
      <c r="AO13" s="36"/>
      <c r="AP13" s="36"/>
      <c r="AQ13" s="36"/>
      <c r="AR13" s="36"/>
      <c r="AS13" s="36"/>
      <c r="AT13" s="36"/>
      <c r="AU13" s="36"/>
      <c r="AV13" s="36"/>
      <c r="AW13" s="36"/>
      <c r="AX13" s="36"/>
      <c r="AY13" s="36"/>
      <c r="AZ13" s="36"/>
      <c r="BA13" s="36"/>
      <c r="BB13" s="36"/>
    </row>
    <row r="14" spans="1:56" s="30" customFormat="1" ht="15" x14ac:dyDescent="0.2">
      <c r="B14" s="44" t="s">
        <v>522</v>
      </c>
      <c r="C14" s="152"/>
      <c r="D14" s="81" t="s">
        <v>5</v>
      </c>
      <c r="G14" s="33"/>
      <c r="H14" s="81"/>
      <c r="I14" s="51"/>
      <c r="J14" s="51"/>
      <c r="K14" s="33"/>
      <c r="L14" s="33"/>
      <c r="M14" s="81"/>
      <c r="N14" s="81"/>
      <c r="O14" s="251"/>
      <c r="P14" s="51"/>
      <c r="Q14" s="50"/>
      <c r="R14" s="35" t="s">
        <v>318</v>
      </c>
      <c r="S14" s="36"/>
      <c r="T14" s="35"/>
      <c r="U14" s="35"/>
      <c r="V14" s="35"/>
      <c r="W14" s="35"/>
      <c r="X14" s="35"/>
      <c r="Y14" s="35"/>
      <c r="Z14" s="35"/>
      <c r="AA14" s="35"/>
      <c r="AB14" s="35"/>
      <c r="AC14" s="35"/>
      <c r="AD14" s="35"/>
      <c r="AE14" s="35"/>
      <c r="AF14" s="35"/>
      <c r="AG14" s="35"/>
      <c r="AH14" s="104"/>
      <c r="AI14" s="35"/>
      <c r="AJ14" s="35"/>
      <c r="AK14" s="36"/>
      <c r="AL14" s="36"/>
      <c r="AM14" s="36"/>
      <c r="AN14" s="36"/>
      <c r="AO14" s="36"/>
      <c r="AP14" s="36"/>
      <c r="AQ14" s="36"/>
      <c r="AR14" s="36"/>
      <c r="AS14" s="36"/>
      <c r="AT14" s="36"/>
      <c r="AU14" s="36"/>
      <c r="AV14" s="36"/>
      <c r="AW14" s="36"/>
      <c r="AX14" s="36"/>
      <c r="AY14" s="36"/>
      <c r="AZ14" s="36"/>
      <c r="BA14" s="36"/>
      <c r="BB14" s="36"/>
    </row>
    <row r="15" spans="1:56" s="30" customFormat="1" ht="15" x14ac:dyDescent="0.2">
      <c r="B15" s="168" t="s">
        <v>393</v>
      </c>
      <c r="C15" s="33"/>
      <c r="D15" s="81"/>
      <c r="G15" s="33"/>
      <c r="H15" s="81"/>
      <c r="J15" s="32"/>
      <c r="K15" s="37" t="s">
        <v>297</v>
      </c>
      <c r="L15" s="37" t="s">
        <v>185</v>
      </c>
      <c r="M15" s="81"/>
      <c r="N15" s="81"/>
      <c r="O15" s="251"/>
      <c r="P15" s="33"/>
      <c r="Q15" s="34"/>
      <c r="R15" s="35" t="s">
        <v>160</v>
      </c>
      <c r="S15" s="35"/>
      <c r="T15" s="35" t="s">
        <v>400</v>
      </c>
      <c r="U15" s="35" t="s">
        <v>399</v>
      </c>
      <c r="V15" s="35" t="s">
        <v>397</v>
      </c>
      <c r="W15" s="35" t="s">
        <v>398</v>
      </c>
      <c r="X15" s="35" t="s">
        <v>401</v>
      </c>
      <c r="Y15" s="35" t="s">
        <v>403</v>
      </c>
      <c r="Z15" s="35" t="s">
        <v>402</v>
      </c>
      <c r="AA15" s="35" t="s">
        <v>186</v>
      </c>
      <c r="AB15" s="35" t="s">
        <v>345</v>
      </c>
      <c r="AC15" s="35" t="s">
        <v>404</v>
      </c>
      <c r="AD15" s="35" t="s">
        <v>346</v>
      </c>
      <c r="AE15" s="35" t="s">
        <v>405</v>
      </c>
      <c r="AF15" s="35" t="s">
        <v>406</v>
      </c>
      <c r="AG15" s="35" t="s">
        <v>578</v>
      </c>
      <c r="AH15" s="104"/>
      <c r="AI15" s="35"/>
      <c r="AJ15" s="35"/>
      <c r="AK15" s="36"/>
      <c r="AL15" s="36"/>
      <c r="AM15" s="36"/>
      <c r="AN15" s="36"/>
      <c r="AO15" s="36"/>
      <c r="AP15" s="36"/>
      <c r="AQ15" s="36"/>
      <c r="AR15" s="36"/>
      <c r="AS15" s="36"/>
      <c r="AT15" s="36"/>
      <c r="AU15" s="36"/>
      <c r="AV15" s="36"/>
      <c r="AW15" s="36"/>
      <c r="AX15" s="36"/>
      <c r="AY15" s="36"/>
      <c r="AZ15" s="36"/>
      <c r="BA15" s="36"/>
      <c r="BB15" s="36"/>
    </row>
    <row r="16" spans="1:56" s="30" customFormat="1" ht="30" x14ac:dyDescent="0.2">
      <c r="B16" s="166" t="s">
        <v>455</v>
      </c>
      <c r="C16" s="471" t="s">
        <v>298</v>
      </c>
      <c r="D16" s="472"/>
      <c r="E16" s="472"/>
      <c r="F16" s="472"/>
      <c r="G16" s="473"/>
      <c r="H16" s="165"/>
      <c r="J16" s="169" t="s">
        <v>395</v>
      </c>
      <c r="K16" s="92" t="str">
        <f>IFERROR(IF(ISNUMBER(L16),L16,(VLOOKUP(C16,Kalusto!$C$45:$L$84,5,FALSE)*(VLOOKUP(C17,Muut!$D$40:$E$43,2,FALSE)))),"--")</f>
        <v>--</v>
      </c>
      <c r="L16" s="39"/>
      <c r="M16" s="40" t="s">
        <v>184</v>
      </c>
      <c r="N16" s="40"/>
      <c r="O16" s="250"/>
      <c r="Q16" s="45"/>
      <c r="R16" s="48" t="str">
        <f>IF(AND(NOT(ISNUMBER(AB16)),NOT(ISNUMBER(AG16))),"",IF(ISNUMBER(AB16),AB16,0)+IF(ISNUMBER(AG16),AG16,0))</f>
        <v/>
      </c>
      <c r="S16" s="98" t="s">
        <v>438</v>
      </c>
      <c r="T16" s="46" t="str">
        <f>IFERROR(IF(ISNUMBER(L16),"Kohdetieto",VLOOKUP(C16,Kalusto!$C$45:$L$84,7,FALSE)),"--")</f>
        <v>--</v>
      </c>
      <c r="U16" s="46" t="str">
        <f>IFERROR(IF(ISNUMBER(L16),"Kohdetieto",VLOOKUP(C16,Kalusto!$C$45:$L$84,8,FALSE)),"--")</f>
        <v>--</v>
      </c>
      <c r="V16" s="47" t="str">
        <f>IFERROR(IF(ISNUMBER(L16),"Kohdetieto",VLOOKUP(C16,Kalusto!$C$45:$L$84,9,FALSE)),"--")</f>
        <v>--</v>
      </c>
      <c r="W16" s="47" t="str">
        <f>IFERROR(IF(ISNUMBER(L16),"Kohdetieto",VLOOKUP(C16,Kalusto!$C$45:$L$84,10,FALSE)),"--")</f>
        <v>--</v>
      </c>
      <c r="X16" s="48" t="str">
        <f>IF(ISBLANK(C18),"",C18)</f>
        <v/>
      </c>
      <c r="Y16" s="46" t="str">
        <f>IF(ISNUMBER(C19),C19,"")</f>
        <v/>
      </c>
      <c r="Z16" s="48" t="str">
        <f>IF(ISNUMBER(X16/(U16*V16)*Y16),X16/(U16*V16)*Y16,"")</f>
        <v/>
      </c>
      <c r="AA16" s="49" t="str">
        <f>IF(ISNUMBER(L16),L16,K16)</f>
        <v>--</v>
      </c>
      <c r="AB16" s="48" t="str">
        <f>IF(ISNUMBER(Y16*X16*K16),Y16*X16*K16,"")</f>
        <v/>
      </c>
      <c r="AC16" s="48" t="str">
        <f>IF(C$26="Kyllä",Y16,"")</f>
        <v/>
      </c>
      <c r="AD16" s="48" t="str">
        <f>IF(C$26="Kyllä",IF(ISNUMBER(X16/(U16*V16)),CEILING(X16/(U16*V16),1),""),"")</f>
        <v/>
      </c>
      <c r="AE16" s="48" t="str">
        <f>IF(ISNUMBER(AD16*AC16),AD16*AC16,"")</f>
        <v/>
      </c>
      <c r="AF16" s="49" t="str">
        <f>IF(ISNUMBER(L18),L18,K18)</f>
        <v>--</v>
      </c>
      <c r="AG16" s="48" t="str">
        <f>IF(ISNUMBER(AC16*AD16*K18),AC16*AD16*K18,"")</f>
        <v/>
      </c>
      <c r="AH16" s="104"/>
      <c r="AI16" s="35"/>
      <c r="AJ16" s="35"/>
      <c r="AK16" s="36"/>
      <c r="AL16" s="36"/>
      <c r="AM16" s="36"/>
      <c r="AN16" s="36"/>
      <c r="AO16" s="36"/>
      <c r="AP16" s="36"/>
      <c r="AQ16" s="36"/>
      <c r="AR16" s="36"/>
      <c r="AS16" s="36"/>
      <c r="AT16" s="36"/>
      <c r="AU16" s="36"/>
      <c r="AV16" s="36"/>
      <c r="AW16" s="36"/>
      <c r="AX16" s="36"/>
      <c r="AY16" s="36"/>
      <c r="AZ16" s="36"/>
      <c r="BA16" s="36"/>
      <c r="BB16" s="36"/>
    </row>
    <row r="17" spans="1:54" s="30" customFormat="1" ht="15" x14ac:dyDescent="0.2">
      <c r="B17" s="182" t="s">
        <v>457</v>
      </c>
      <c r="C17" s="156" t="s">
        <v>309</v>
      </c>
      <c r="D17" s="33"/>
      <c r="E17" s="33"/>
      <c r="F17" s="33"/>
      <c r="G17" s="33"/>
      <c r="H17" s="57"/>
      <c r="J17" s="169"/>
      <c r="K17" s="169"/>
      <c r="L17" s="169"/>
      <c r="M17" s="40"/>
      <c r="N17" s="40"/>
      <c r="O17" s="250"/>
      <c r="Q17" s="45"/>
      <c r="R17" s="35"/>
      <c r="S17" s="35"/>
      <c r="T17" s="35"/>
      <c r="U17" s="35"/>
      <c r="V17" s="177"/>
      <c r="W17" s="177"/>
      <c r="X17" s="59"/>
      <c r="Y17" s="35"/>
      <c r="Z17" s="59"/>
      <c r="AA17" s="178"/>
      <c r="AB17" s="59"/>
      <c r="AC17" s="59"/>
      <c r="AD17" s="59"/>
      <c r="AE17" s="59"/>
      <c r="AF17" s="178"/>
      <c r="AG17" s="59"/>
      <c r="AH17" s="104"/>
      <c r="AI17" s="35"/>
      <c r="AJ17" s="35"/>
      <c r="AK17" s="36"/>
      <c r="AL17" s="36"/>
      <c r="AM17" s="36"/>
      <c r="AN17" s="36"/>
      <c r="AO17" s="36"/>
      <c r="AP17" s="36"/>
      <c r="AQ17" s="36"/>
      <c r="AR17" s="36"/>
      <c r="AS17" s="36"/>
      <c r="AT17" s="36"/>
      <c r="AU17" s="36"/>
      <c r="AV17" s="36"/>
      <c r="AW17" s="36"/>
      <c r="AX17" s="36"/>
      <c r="AY17" s="36"/>
      <c r="AZ17" s="36"/>
      <c r="BA17" s="36"/>
      <c r="BB17" s="36"/>
    </row>
    <row r="18" spans="1:54" s="30" customFormat="1" ht="15" x14ac:dyDescent="0.2">
      <c r="B18" s="44" t="s">
        <v>521</v>
      </c>
      <c r="C18" s="152"/>
      <c r="D18" s="81" t="s">
        <v>52</v>
      </c>
      <c r="G18" s="33"/>
      <c r="H18" s="81"/>
      <c r="J18" s="32" t="s">
        <v>396</v>
      </c>
      <c r="K18" s="92" t="str">
        <f>IFERROR(IF(ISNUMBER(L18),L18,IF($C$26="Ei","",(VLOOKUP(C16,Kalusto!$C$45:$V$84,19,FALSE)*(VLOOKUP($C$17,Muut!$D$40:$E$43,2,FALSE))))),"--")</f>
        <v>--</v>
      </c>
      <c r="L18" s="39"/>
      <c r="M18" s="40" t="s">
        <v>188</v>
      </c>
      <c r="N18" s="40"/>
      <c r="O18" s="250"/>
      <c r="P18" s="33"/>
      <c r="Q18" s="50"/>
      <c r="R18" s="48" t="str">
        <f>IF(ISNUMBER(R16),R16,"")</f>
        <v/>
      </c>
      <c r="S18" s="98" t="s">
        <v>439</v>
      </c>
      <c r="T18" s="35"/>
      <c r="U18" s="35"/>
      <c r="V18" s="35"/>
      <c r="W18" s="35"/>
      <c r="X18" s="35"/>
      <c r="Y18" s="35"/>
      <c r="Z18" s="35"/>
      <c r="AA18" s="35"/>
      <c r="AB18" s="35"/>
      <c r="AC18" s="35"/>
      <c r="AD18" s="35"/>
      <c r="AE18" s="35"/>
      <c r="AF18" s="35"/>
      <c r="AG18" s="35"/>
      <c r="AH18" s="104"/>
      <c r="AI18" s="35"/>
      <c r="AJ18" s="35"/>
      <c r="AK18" s="36"/>
      <c r="AL18" s="36"/>
      <c r="AM18" s="36"/>
      <c r="AN18" s="36"/>
      <c r="AO18" s="36"/>
      <c r="AP18" s="36"/>
      <c r="AQ18" s="36"/>
      <c r="AR18" s="36"/>
      <c r="AS18" s="36"/>
      <c r="AT18" s="36"/>
      <c r="AU18" s="36"/>
      <c r="AV18" s="36"/>
      <c r="AW18" s="36"/>
      <c r="AX18" s="36"/>
      <c r="AY18" s="36"/>
      <c r="AZ18" s="36"/>
      <c r="BA18" s="36"/>
      <c r="BB18" s="36"/>
    </row>
    <row r="19" spans="1:54" s="30" customFormat="1" ht="15" x14ac:dyDescent="0.2">
      <c r="B19" s="44" t="s">
        <v>522</v>
      </c>
      <c r="C19" s="386"/>
      <c r="D19" s="81" t="s">
        <v>5</v>
      </c>
      <c r="G19" s="33"/>
      <c r="H19" s="81"/>
      <c r="I19" s="51"/>
      <c r="J19" s="51"/>
      <c r="K19" s="33"/>
      <c r="L19" s="33"/>
      <c r="M19" s="81"/>
      <c r="N19" s="81"/>
      <c r="O19" s="251"/>
      <c r="P19" s="51"/>
      <c r="Q19" s="50"/>
      <c r="R19" s="35" t="s">
        <v>318</v>
      </c>
      <c r="S19" s="35"/>
      <c r="T19" s="35"/>
      <c r="U19" s="35"/>
      <c r="V19" s="35"/>
      <c r="W19" s="35"/>
      <c r="X19" s="35"/>
      <c r="Y19" s="35"/>
      <c r="Z19" s="35"/>
      <c r="AA19" s="35"/>
      <c r="AB19" s="35"/>
      <c r="AC19" s="35"/>
      <c r="AD19" s="35"/>
      <c r="AE19" s="35"/>
      <c r="AF19" s="35"/>
      <c r="AG19" s="35"/>
      <c r="AH19" s="104"/>
      <c r="AI19" s="35"/>
      <c r="AJ19" s="35"/>
      <c r="AK19" s="36"/>
      <c r="AL19" s="36"/>
      <c r="AM19" s="36"/>
      <c r="AN19" s="36"/>
      <c r="AO19" s="36"/>
      <c r="AP19" s="36"/>
      <c r="AQ19" s="36"/>
      <c r="AR19" s="36"/>
      <c r="AS19" s="36"/>
      <c r="AT19" s="36"/>
      <c r="AU19" s="36"/>
      <c r="AV19" s="36"/>
      <c r="AW19" s="36"/>
      <c r="AX19" s="36"/>
      <c r="AY19" s="36"/>
      <c r="AZ19" s="36"/>
      <c r="BA19" s="36"/>
      <c r="BB19" s="36"/>
    </row>
    <row r="20" spans="1:54" s="30" customFormat="1" ht="15" x14ac:dyDescent="0.2">
      <c r="B20" s="168" t="s">
        <v>394</v>
      </c>
      <c r="C20" s="33"/>
      <c r="D20" s="81"/>
      <c r="G20" s="33"/>
      <c r="H20" s="81"/>
      <c r="J20" s="32"/>
      <c r="K20" s="37" t="s">
        <v>297</v>
      </c>
      <c r="L20" s="37" t="s">
        <v>185</v>
      </c>
      <c r="M20" s="81"/>
      <c r="N20" s="81"/>
      <c r="O20" s="251"/>
      <c r="P20" s="33"/>
      <c r="Q20" s="34"/>
      <c r="R20" s="35" t="s">
        <v>160</v>
      </c>
      <c r="S20" s="35"/>
      <c r="T20" s="35" t="s">
        <v>400</v>
      </c>
      <c r="U20" s="35" t="s">
        <v>399</v>
      </c>
      <c r="V20" s="35" t="s">
        <v>397</v>
      </c>
      <c r="W20" s="35" t="s">
        <v>398</v>
      </c>
      <c r="X20" s="35" t="s">
        <v>401</v>
      </c>
      <c r="Y20" s="35" t="s">
        <v>403</v>
      </c>
      <c r="Z20" s="35" t="s">
        <v>402</v>
      </c>
      <c r="AA20" s="35" t="s">
        <v>186</v>
      </c>
      <c r="AB20" s="35" t="s">
        <v>345</v>
      </c>
      <c r="AC20" s="35" t="s">
        <v>404</v>
      </c>
      <c r="AD20" s="35" t="s">
        <v>346</v>
      </c>
      <c r="AE20" s="35" t="s">
        <v>405</v>
      </c>
      <c r="AF20" s="35" t="s">
        <v>406</v>
      </c>
      <c r="AG20" s="35" t="s">
        <v>578</v>
      </c>
      <c r="AH20" s="104"/>
      <c r="AI20" s="35"/>
      <c r="AJ20" s="35"/>
      <c r="AK20" s="36"/>
      <c r="AL20" s="36"/>
      <c r="AM20" s="36"/>
      <c r="AN20" s="36"/>
      <c r="AO20" s="36"/>
      <c r="AP20" s="36"/>
      <c r="AQ20" s="36"/>
      <c r="AR20" s="36"/>
      <c r="AS20" s="36"/>
      <c r="AT20" s="36"/>
      <c r="AU20" s="36"/>
      <c r="AV20" s="36"/>
      <c r="AW20" s="36"/>
      <c r="AX20" s="36"/>
      <c r="AY20" s="36"/>
      <c r="AZ20" s="36"/>
      <c r="BA20" s="36"/>
      <c r="BB20" s="36"/>
    </row>
    <row r="21" spans="1:54" s="30" customFormat="1" ht="30" x14ac:dyDescent="0.2">
      <c r="B21" s="166" t="s">
        <v>455</v>
      </c>
      <c r="C21" s="471" t="s">
        <v>298</v>
      </c>
      <c r="D21" s="472"/>
      <c r="E21" s="472"/>
      <c r="F21" s="472"/>
      <c r="G21" s="473"/>
      <c r="H21" s="165"/>
      <c r="J21" s="169" t="s">
        <v>395</v>
      </c>
      <c r="K21" s="92" t="str">
        <f>IFERROR(IF(ISNUMBER(L21),L21,(VLOOKUP(C21,Kalusto!$C$45:$L$84,5,FALSE)*(VLOOKUP(C22,Muut!$D$40:$E$43,2,FALSE)))),"--")</f>
        <v>--</v>
      </c>
      <c r="L21" s="39"/>
      <c r="M21" s="40" t="s">
        <v>184</v>
      </c>
      <c r="N21" s="40"/>
      <c r="O21" s="250"/>
      <c r="Q21" s="45"/>
      <c r="R21" s="48" t="str">
        <f>IF(AND(NOT(ISNUMBER(AB21)),NOT(ISNUMBER(AG21))),"",IF(ISNUMBER(AB21),AB21,0)+IF(ISNUMBER(AG21),AG21,0))</f>
        <v/>
      </c>
      <c r="S21" s="98" t="s">
        <v>438</v>
      </c>
      <c r="T21" s="46" t="str">
        <f>IFERROR(IF(ISNUMBER(L21),"Kohdetieto",VLOOKUP(C21,Kalusto!$C$45:$L$84,7,FALSE)),"--")</f>
        <v>--</v>
      </c>
      <c r="U21" s="46" t="str">
        <f>IFERROR(IF(ISNUMBER(L21),"Kohdetieto",VLOOKUP(C21,Kalusto!$C$45:$L$84,8,FALSE)),"--")</f>
        <v>--</v>
      </c>
      <c r="V21" s="47" t="str">
        <f>IFERROR(IF(ISNUMBER(L21),"Kohdetieto",VLOOKUP(C21,Kalusto!$C$45:$L$84,9,FALSE)),"--")</f>
        <v>--</v>
      </c>
      <c r="W21" s="47" t="str">
        <f>IFERROR(IF(ISNUMBER(L21),"Kohdetieto",VLOOKUP(C21,Kalusto!$C$45:$L$84,10,FALSE)),"--")</f>
        <v>--</v>
      </c>
      <c r="X21" s="48" t="str">
        <f>IF(ISBLANK(C23),"",C23)</f>
        <v/>
      </c>
      <c r="Y21" s="46" t="str">
        <f>IF(ISNUMBER(C24),C24,"")</f>
        <v/>
      </c>
      <c r="Z21" s="48" t="str">
        <f>IF(ISNUMBER(X21/(U21*V21)*Y21),X21/(U21*V21)*Y21,"")</f>
        <v/>
      </c>
      <c r="AA21" s="49" t="str">
        <f>IF(ISNUMBER(L21),L21,K21)</f>
        <v>--</v>
      </c>
      <c r="AB21" s="48" t="str">
        <f>IF(ISNUMBER(Y21*X21*K21),Y21*X21*K21,"")</f>
        <v/>
      </c>
      <c r="AC21" s="48" t="str">
        <f>IF(C$26="Kyllä",Y21,"")</f>
        <v/>
      </c>
      <c r="AD21" s="48" t="str">
        <f>IF(C$26="Kyllä",IF(ISNUMBER(X21/(U21*V21)),CEILING(X21/(U21*V21),1),""),"")</f>
        <v/>
      </c>
      <c r="AE21" s="48" t="str">
        <f>IF(ISNUMBER(AD21*AC21),AD21*AC21,"")</f>
        <v/>
      </c>
      <c r="AF21" s="49" t="str">
        <f>IF(ISNUMBER(L23),L23,K23)</f>
        <v>--</v>
      </c>
      <c r="AG21" s="48" t="str">
        <f>IF(ISNUMBER(AC21*AD21*K23),AC21*AD21*K23,"")</f>
        <v/>
      </c>
      <c r="AH21" s="104"/>
      <c r="AI21" s="35"/>
      <c r="AJ21" s="35"/>
      <c r="AK21" s="36"/>
      <c r="AL21" s="36"/>
      <c r="AM21" s="36"/>
      <c r="AN21" s="36"/>
      <c r="AO21" s="36"/>
      <c r="AP21" s="36"/>
      <c r="AQ21" s="36"/>
      <c r="AR21" s="36"/>
      <c r="AS21" s="36"/>
      <c r="AT21" s="36"/>
      <c r="AU21" s="36"/>
      <c r="AV21" s="36"/>
      <c r="AW21" s="36"/>
      <c r="AX21" s="36"/>
      <c r="AY21" s="36"/>
      <c r="AZ21" s="36"/>
      <c r="BA21" s="36"/>
      <c r="BB21" s="36"/>
    </row>
    <row r="22" spans="1:54" s="30" customFormat="1" ht="15" x14ac:dyDescent="0.2">
      <c r="B22" s="182" t="s">
        <v>457</v>
      </c>
      <c r="C22" s="156" t="s">
        <v>309</v>
      </c>
      <c r="D22" s="33"/>
      <c r="E22" s="33"/>
      <c r="F22" s="33"/>
      <c r="G22" s="33"/>
      <c r="H22" s="57"/>
      <c r="J22" s="169"/>
      <c r="K22" s="169"/>
      <c r="L22" s="169"/>
      <c r="M22" s="40"/>
      <c r="N22" s="40"/>
      <c r="O22" s="250"/>
      <c r="Q22" s="45"/>
      <c r="R22" s="35"/>
      <c r="S22" s="35"/>
      <c r="T22" s="35"/>
      <c r="U22" s="35"/>
      <c r="V22" s="177"/>
      <c r="W22" s="177"/>
      <c r="X22" s="59"/>
      <c r="Y22" s="35"/>
      <c r="Z22" s="59"/>
      <c r="AA22" s="178"/>
      <c r="AB22" s="59"/>
      <c r="AC22" s="59"/>
      <c r="AD22" s="59"/>
      <c r="AE22" s="59"/>
      <c r="AF22" s="178"/>
      <c r="AG22" s="59"/>
      <c r="AH22" s="104"/>
      <c r="AI22" s="35"/>
      <c r="AJ22" s="35"/>
      <c r="AK22" s="36"/>
      <c r="AL22" s="36"/>
      <c r="AM22" s="36"/>
      <c r="AN22" s="36"/>
      <c r="AO22" s="36"/>
      <c r="AP22" s="36"/>
      <c r="AQ22" s="36"/>
      <c r="AR22" s="36"/>
      <c r="AS22" s="36"/>
      <c r="AT22" s="36"/>
      <c r="AU22" s="36"/>
      <c r="AV22" s="36"/>
      <c r="AW22" s="36"/>
      <c r="AX22" s="36"/>
      <c r="AY22" s="36"/>
      <c r="AZ22" s="36"/>
      <c r="BA22" s="36"/>
      <c r="BB22" s="36"/>
    </row>
    <row r="23" spans="1:54" s="30" customFormat="1" ht="15" x14ac:dyDescent="0.2">
      <c r="B23" s="44" t="s">
        <v>456</v>
      </c>
      <c r="C23" s="152"/>
      <c r="D23" s="81" t="s">
        <v>52</v>
      </c>
      <c r="G23" s="33"/>
      <c r="H23" s="81"/>
      <c r="J23" s="32" t="s">
        <v>396</v>
      </c>
      <c r="K23" s="92" t="str">
        <f>IFERROR(IF(ISNUMBER(L23),L23,IF($C$26="Ei","",(VLOOKUP(C21,Kalusto!$C$45:$V$84,19,FALSE)*(VLOOKUP($C$22,Muut!$D$40:$E$43,2,FALSE))))),"--")</f>
        <v>--</v>
      </c>
      <c r="L23" s="39"/>
      <c r="M23" s="40" t="s">
        <v>188</v>
      </c>
      <c r="N23" s="40"/>
      <c r="O23" s="250"/>
      <c r="P23" s="33"/>
      <c r="Q23" s="50"/>
      <c r="R23" s="48" t="str">
        <f>IF(ISNUMBER(R21),R21,"")</f>
        <v/>
      </c>
      <c r="S23" s="98" t="s">
        <v>439</v>
      </c>
      <c r="T23" s="35"/>
      <c r="U23" s="35"/>
      <c r="V23" s="35"/>
      <c r="W23" s="35"/>
      <c r="X23" s="35"/>
      <c r="Y23" s="35"/>
      <c r="Z23" s="35"/>
      <c r="AA23" s="35"/>
      <c r="AB23" s="35"/>
      <c r="AC23" s="35"/>
      <c r="AD23" s="35"/>
      <c r="AE23" s="35"/>
      <c r="AF23" s="35"/>
      <c r="AG23" s="35"/>
      <c r="AH23" s="35"/>
      <c r="AI23" s="35"/>
      <c r="AJ23" s="35"/>
      <c r="AK23" s="36"/>
      <c r="AL23" s="36"/>
      <c r="AM23" s="36"/>
      <c r="AN23" s="36"/>
      <c r="AO23" s="36"/>
      <c r="AP23" s="36"/>
      <c r="AQ23" s="36"/>
      <c r="AR23" s="36"/>
      <c r="AS23" s="36"/>
      <c r="AT23" s="36"/>
      <c r="AU23" s="36"/>
      <c r="AV23" s="36"/>
      <c r="AW23" s="36"/>
      <c r="AX23" s="36"/>
      <c r="AY23" s="36"/>
      <c r="AZ23" s="36"/>
      <c r="BA23" s="36"/>
      <c r="BB23" s="36"/>
    </row>
    <row r="24" spans="1:54" s="30" customFormat="1" ht="15" x14ac:dyDescent="0.2">
      <c r="B24" s="44" t="s">
        <v>458</v>
      </c>
      <c r="C24" s="152"/>
      <c r="D24" s="81" t="s">
        <v>5</v>
      </c>
      <c r="G24" s="33"/>
      <c r="H24" s="81"/>
      <c r="I24" s="51"/>
      <c r="J24" s="51"/>
      <c r="K24" s="33"/>
      <c r="L24" s="33"/>
      <c r="M24" s="81"/>
      <c r="N24" s="81"/>
      <c r="O24" s="251"/>
      <c r="P24" s="51"/>
      <c r="Q24" s="50"/>
      <c r="R24" s="35"/>
      <c r="S24" s="35"/>
      <c r="T24" s="35"/>
      <c r="U24" s="35"/>
      <c r="V24" s="35"/>
      <c r="W24" s="35"/>
      <c r="X24" s="35"/>
      <c r="Y24" s="35"/>
      <c r="Z24" s="35"/>
      <c r="AA24" s="35"/>
      <c r="AB24" s="35"/>
      <c r="AC24" s="35"/>
      <c r="AD24" s="35"/>
      <c r="AE24" s="35"/>
      <c r="AF24" s="35"/>
      <c r="AG24" s="35"/>
      <c r="AH24" s="35"/>
      <c r="AI24" s="35"/>
      <c r="AJ24" s="35"/>
      <c r="AK24" s="36"/>
      <c r="AL24" s="36"/>
      <c r="AM24" s="36"/>
      <c r="AN24" s="36"/>
      <c r="AO24" s="36"/>
      <c r="AP24" s="36"/>
      <c r="AQ24" s="36"/>
      <c r="AR24" s="36"/>
      <c r="AS24" s="36"/>
      <c r="AT24" s="36"/>
      <c r="AU24" s="36"/>
      <c r="AV24" s="36"/>
      <c r="AW24" s="36"/>
      <c r="AX24" s="36"/>
      <c r="AY24" s="36"/>
      <c r="AZ24" s="36"/>
      <c r="BA24" s="36"/>
      <c r="BB24" s="36"/>
    </row>
    <row r="25" spans="1:54" s="30" customFormat="1" ht="15" x14ac:dyDescent="0.2">
      <c r="C25" s="33"/>
      <c r="D25" s="81"/>
      <c r="G25" s="33"/>
      <c r="H25" s="81"/>
      <c r="J25" s="32"/>
      <c r="K25" s="33"/>
      <c r="L25" s="33"/>
      <c r="M25" s="81"/>
      <c r="N25" s="81"/>
      <c r="O25" s="251"/>
      <c r="Q25" s="34"/>
      <c r="R25" s="35"/>
      <c r="S25" s="35"/>
      <c r="T25" s="35"/>
      <c r="U25" s="35"/>
      <c r="V25" s="35"/>
      <c r="W25" s="35"/>
      <c r="X25" s="35"/>
      <c r="Y25" s="35"/>
      <c r="Z25" s="35"/>
      <c r="AA25" s="35"/>
      <c r="AB25" s="35"/>
      <c r="AC25" s="35"/>
      <c r="AD25" s="35"/>
      <c r="AE25" s="35"/>
      <c r="AF25" s="35"/>
      <c r="AG25" s="35"/>
      <c r="AH25" s="35"/>
      <c r="AI25" s="35"/>
      <c r="AJ25" s="35"/>
      <c r="AK25" s="36"/>
      <c r="AL25" s="36"/>
      <c r="AM25" s="36"/>
      <c r="AN25" s="36"/>
      <c r="AO25" s="36"/>
      <c r="AP25" s="36"/>
      <c r="AQ25" s="36"/>
      <c r="AR25" s="36"/>
      <c r="AS25" s="36"/>
      <c r="AT25" s="36"/>
      <c r="AU25" s="36"/>
      <c r="AV25" s="36"/>
      <c r="AW25" s="36"/>
      <c r="AX25" s="36"/>
      <c r="AY25" s="36"/>
      <c r="AZ25" s="36"/>
      <c r="BA25" s="36"/>
      <c r="BB25" s="36"/>
    </row>
    <row r="26" spans="1:54" s="30" customFormat="1" ht="45" x14ac:dyDescent="0.2">
      <c r="B26" s="76" t="s">
        <v>606</v>
      </c>
      <c r="C26" s="471" t="s">
        <v>6</v>
      </c>
      <c r="D26" s="473"/>
      <c r="G26" s="80" t="str">
        <f>C26</f>
        <v>Kyllä</v>
      </c>
      <c r="H26" s="81"/>
      <c r="J26" s="32"/>
      <c r="K26" s="33"/>
      <c r="L26" s="33"/>
      <c r="M26" s="81"/>
      <c r="N26" s="81"/>
      <c r="O26" s="251"/>
      <c r="Q26" s="34"/>
      <c r="R26" s="95"/>
      <c r="S26" s="35"/>
      <c r="T26" s="35"/>
      <c r="U26" s="35"/>
      <c r="V26" s="35"/>
      <c r="W26" s="35"/>
      <c r="X26" s="35"/>
      <c r="Y26" s="35"/>
      <c r="Z26" s="35"/>
      <c r="AA26" s="35"/>
      <c r="AB26" s="35"/>
      <c r="AC26" s="35"/>
      <c r="AD26" s="35"/>
      <c r="AE26" s="35"/>
      <c r="AF26" s="35"/>
      <c r="AG26" s="35"/>
      <c r="AH26" s="35"/>
      <c r="AI26" s="35"/>
      <c r="AJ26" s="35"/>
      <c r="AK26" s="36"/>
      <c r="AL26" s="36"/>
      <c r="AM26" s="36"/>
      <c r="AN26" s="36"/>
      <c r="AO26" s="36"/>
      <c r="AP26" s="36"/>
      <c r="AQ26" s="36"/>
      <c r="AR26" s="36"/>
      <c r="AS26" s="36"/>
      <c r="AT26" s="36"/>
      <c r="AU26" s="36"/>
      <c r="AV26" s="36"/>
      <c r="AW26" s="36"/>
      <c r="AX26" s="36"/>
      <c r="AY26" s="36"/>
      <c r="AZ26" s="36"/>
      <c r="BA26" s="36"/>
      <c r="BB26" s="36"/>
    </row>
    <row r="27" spans="1:54" s="30" customFormat="1" ht="15" x14ac:dyDescent="0.2">
      <c r="C27" s="33"/>
      <c r="D27" s="81"/>
      <c r="G27" s="33"/>
      <c r="H27" s="81"/>
      <c r="K27" s="33"/>
      <c r="L27" s="33"/>
      <c r="M27" s="81"/>
      <c r="N27" s="81"/>
      <c r="O27" s="249"/>
      <c r="Q27" s="34"/>
      <c r="R27" s="95"/>
      <c r="S27" s="35"/>
      <c r="T27" s="35"/>
      <c r="U27" s="35"/>
      <c r="V27" s="35"/>
      <c r="W27" s="35"/>
      <c r="X27" s="35"/>
      <c r="Y27" s="35"/>
      <c r="Z27" s="35"/>
      <c r="AA27" s="35"/>
      <c r="AB27" s="35"/>
      <c r="AC27" s="35"/>
      <c r="AD27" s="35"/>
      <c r="AE27" s="35"/>
      <c r="AF27" s="35"/>
      <c r="AG27" s="35"/>
      <c r="AH27" s="35"/>
      <c r="AI27" s="35"/>
      <c r="AJ27" s="35"/>
      <c r="AK27" s="36"/>
      <c r="AL27" s="36"/>
      <c r="AM27" s="36"/>
      <c r="AN27" s="36"/>
      <c r="AO27" s="36"/>
      <c r="AP27" s="36"/>
      <c r="AQ27" s="36"/>
      <c r="AR27" s="36"/>
      <c r="AS27" s="36"/>
      <c r="AT27" s="36"/>
      <c r="AU27" s="36"/>
      <c r="AV27" s="36"/>
      <c r="AW27" s="36"/>
      <c r="AX27" s="36"/>
      <c r="AY27" s="36"/>
      <c r="AZ27" s="36"/>
      <c r="BA27" s="36"/>
      <c r="BB27" s="36"/>
    </row>
    <row r="28" spans="1:54" s="30" customFormat="1" ht="18" x14ac:dyDescent="0.2">
      <c r="A28" s="289"/>
      <c r="B28" s="286" t="s">
        <v>633</v>
      </c>
      <c r="C28" s="287"/>
      <c r="D28" s="288"/>
      <c r="E28" s="289"/>
      <c r="F28" s="289"/>
      <c r="G28" s="287"/>
      <c r="H28" s="288"/>
      <c r="I28" s="289"/>
      <c r="J28" s="306"/>
      <c r="K28" s="290"/>
      <c r="L28" s="290"/>
      <c r="M28" s="310"/>
      <c r="N28" s="310"/>
      <c r="O28" s="291"/>
      <c r="P28" s="307"/>
      <c r="Q28" s="295"/>
      <c r="R28" s="294"/>
      <c r="S28" s="294"/>
      <c r="T28" s="294"/>
      <c r="U28" s="294"/>
      <c r="V28" s="294"/>
      <c r="W28" s="294"/>
      <c r="X28" s="294"/>
      <c r="Y28" s="294"/>
      <c r="Z28" s="294"/>
      <c r="AA28" s="294"/>
      <c r="AB28" s="294"/>
      <c r="AC28" s="294"/>
      <c r="AD28" s="294"/>
      <c r="AE28" s="294"/>
      <c r="AF28" s="294"/>
      <c r="AG28" s="294"/>
      <c r="AH28" s="294"/>
      <c r="AI28" s="294"/>
      <c r="AJ28" s="294"/>
      <c r="AK28" s="295"/>
      <c r="AL28" s="295"/>
      <c r="AM28" s="295"/>
      <c r="AN28" s="295"/>
      <c r="AO28" s="295"/>
      <c r="AP28" s="295"/>
      <c r="AQ28" s="295"/>
      <c r="AR28" s="295"/>
      <c r="AS28" s="295"/>
      <c r="AT28" s="295"/>
      <c r="AU28" s="295"/>
      <c r="AV28" s="295"/>
      <c r="AW28" s="295"/>
      <c r="AX28" s="295"/>
      <c r="AY28" s="295"/>
      <c r="AZ28" s="295"/>
      <c r="BA28" s="295"/>
      <c r="BB28" s="295"/>
    </row>
    <row r="29" spans="1:54" s="30" customFormat="1" ht="16.5" thickBot="1" x14ac:dyDescent="0.25">
      <c r="B29" s="8"/>
      <c r="C29" s="33"/>
      <c r="D29" s="81"/>
      <c r="G29" s="33"/>
      <c r="H29" s="81"/>
      <c r="J29" s="32"/>
      <c r="K29" s="37" t="s">
        <v>297</v>
      </c>
      <c r="L29" s="37" t="s">
        <v>185</v>
      </c>
      <c r="M29" s="83"/>
      <c r="N29" s="83"/>
      <c r="O29" s="249" t="s">
        <v>584</v>
      </c>
      <c r="P29" s="37"/>
      <c r="Q29" s="34"/>
      <c r="R29" s="59" t="s">
        <v>318</v>
      </c>
      <c r="S29" s="35"/>
      <c r="T29" s="35"/>
      <c r="U29" s="35"/>
      <c r="V29" s="35"/>
      <c r="W29" s="35"/>
      <c r="X29" s="35"/>
      <c r="Y29" s="35"/>
      <c r="Z29" s="35"/>
      <c r="AA29" s="35"/>
      <c r="AB29" s="35"/>
      <c r="AC29" s="35"/>
      <c r="AD29" s="35"/>
      <c r="AE29" s="35"/>
      <c r="AF29" s="35"/>
      <c r="AG29" s="35"/>
      <c r="AH29" s="35"/>
      <c r="AI29" s="35"/>
      <c r="AJ29" s="35"/>
      <c r="AK29" s="36"/>
      <c r="AL29" s="36"/>
      <c r="AM29" s="36"/>
      <c r="AN29" s="36"/>
      <c r="AO29" s="36"/>
      <c r="AP29" s="36"/>
      <c r="AQ29" s="36"/>
      <c r="AR29" s="36"/>
      <c r="AS29" s="36"/>
      <c r="AT29" s="36"/>
      <c r="AU29" s="36"/>
      <c r="AV29" s="36"/>
      <c r="AW29" s="36"/>
      <c r="AX29" s="36"/>
      <c r="AY29" s="36"/>
      <c r="AZ29" s="36"/>
      <c r="BA29" s="36"/>
      <c r="BB29" s="36"/>
    </row>
    <row r="30" spans="1:54" s="30" customFormat="1" ht="15.75" thickBot="1" x14ac:dyDescent="0.25">
      <c r="B30" s="38" t="s">
        <v>428</v>
      </c>
      <c r="C30" s="152"/>
      <c r="D30" s="85" t="s">
        <v>162</v>
      </c>
      <c r="E30" s="31"/>
      <c r="F30" s="31"/>
      <c r="G30" s="33"/>
      <c r="H30" s="81"/>
      <c r="J30" s="32" t="s">
        <v>410</v>
      </c>
      <c r="K30" s="92">
        <f>IF(ISNUMBER(L30),L30,Muut!$F$5)</f>
        <v>8.4</v>
      </c>
      <c r="L30" s="39"/>
      <c r="M30" s="40" t="s">
        <v>266</v>
      </c>
      <c r="N30" s="40"/>
      <c r="O30" s="250"/>
      <c r="Q30" s="34"/>
      <c r="R30" s="394" t="str">
        <f>IF(ISNUMBER(C30),IF(ISNUMBER(L30),L30*C30,K30*C30),"")</f>
        <v/>
      </c>
      <c r="S30" s="98" t="s">
        <v>691</v>
      </c>
      <c r="T30" s="42"/>
      <c r="U30" s="42"/>
      <c r="V30" s="42"/>
      <c r="W30" s="35"/>
      <c r="X30" s="35"/>
      <c r="Y30" s="35"/>
      <c r="Z30" s="35"/>
      <c r="AA30" s="35"/>
      <c r="AB30" s="35"/>
      <c r="AC30" s="35"/>
      <c r="AD30" s="35"/>
      <c r="AE30" s="35"/>
      <c r="AF30" s="35"/>
      <c r="AG30" s="35"/>
      <c r="AH30" s="35"/>
      <c r="AI30" s="35"/>
      <c r="AJ30" s="35"/>
      <c r="AK30" s="36"/>
      <c r="AL30" s="36"/>
      <c r="AM30" s="36"/>
      <c r="AN30" s="36"/>
      <c r="AO30" s="36"/>
      <c r="AP30" s="36"/>
      <c r="AQ30" s="36"/>
      <c r="AR30" s="36"/>
      <c r="AS30" s="36"/>
      <c r="AT30" s="36"/>
      <c r="AU30" s="36"/>
      <c r="AV30" s="36"/>
      <c r="AW30" s="36"/>
      <c r="AX30" s="36"/>
      <c r="AY30" s="36"/>
      <c r="AZ30" s="36"/>
      <c r="BA30" s="36"/>
      <c r="BB30" s="36"/>
    </row>
    <row r="31" spans="1:54" s="30" customFormat="1" ht="15" x14ac:dyDescent="0.2">
      <c r="B31" s="166" t="s">
        <v>460</v>
      </c>
      <c r="C31" s="156" t="s">
        <v>309</v>
      </c>
      <c r="D31" s="85"/>
      <c r="E31" s="31"/>
      <c r="F31" s="31"/>
      <c r="G31" s="33"/>
      <c r="H31" s="81"/>
      <c r="J31" s="32" t="s">
        <v>409</v>
      </c>
      <c r="K31" s="92" t="str">
        <f>IFERROR(Muut!$F$6*VLOOKUP(C31,Muut!$D$40:$E$43,2,FALSE),"--")</f>
        <v>--</v>
      </c>
      <c r="L31" s="39"/>
      <c r="M31" s="40" t="s">
        <v>266</v>
      </c>
      <c r="N31" s="40"/>
      <c r="O31" s="250"/>
      <c r="Q31" s="34"/>
      <c r="R31" s="127" t="str">
        <f>IF(ISNUMBER(C30),IF(ISNUMBER(L31),L31*C30,K31*C30),"")</f>
        <v/>
      </c>
      <c r="S31" s="98" t="s">
        <v>160</v>
      </c>
      <c r="T31" s="42"/>
      <c r="U31" s="42"/>
      <c r="V31" s="42"/>
      <c r="W31" s="35"/>
      <c r="X31" s="35"/>
      <c r="Y31" s="35"/>
      <c r="Z31" s="35"/>
      <c r="AA31" s="35"/>
      <c r="AB31" s="35"/>
      <c r="AC31" s="35"/>
      <c r="AD31" s="35"/>
      <c r="AE31" s="35"/>
      <c r="AF31" s="35"/>
      <c r="AG31" s="35"/>
      <c r="AH31" s="35"/>
      <c r="AI31" s="35"/>
      <c r="AJ31" s="35"/>
      <c r="AK31" s="36"/>
      <c r="AL31" s="36"/>
      <c r="AM31" s="36"/>
      <c r="AN31" s="36"/>
      <c r="AO31" s="36"/>
      <c r="AP31" s="36"/>
      <c r="AQ31" s="36"/>
      <c r="AR31" s="36"/>
      <c r="AS31" s="36"/>
      <c r="AT31" s="36"/>
      <c r="AU31" s="36"/>
      <c r="AV31" s="36"/>
      <c r="AW31" s="36"/>
      <c r="AX31" s="36"/>
      <c r="AY31" s="36"/>
      <c r="AZ31" s="36"/>
      <c r="BA31" s="36"/>
      <c r="BB31" s="36"/>
    </row>
    <row r="32" spans="1:54" s="30" customFormat="1" ht="15" x14ac:dyDescent="0.2">
      <c r="B32" s="38" t="s">
        <v>429</v>
      </c>
      <c r="C32" s="152"/>
      <c r="D32" s="85" t="s">
        <v>162</v>
      </c>
      <c r="E32" s="31"/>
      <c r="F32" s="31"/>
      <c r="G32" s="33"/>
      <c r="H32" s="81"/>
      <c r="J32" s="32" t="s">
        <v>408</v>
      </c>
      <c r="K32" s="92" t="str">
        <f>IFERROR(Muut!$F$7*VLOOKUP(C33,Muut!$D$40:$E$43,2,FALSE),"--")</f>
        <v>--</v>
      </c>
      <c r="L32" s="39"/>
      <c r="M32" s="40" t="s">
        <v>266</v>
      </c>
      <c r="N32" s="40"/>
      <c r="O32" s="250"/>
      <c r="Q32" s="34"/>
      <c r="R32" s="46" t="str">
        <f>IF(ISNUMBER(C32),IF(ISNUMBER(L32),L32*C32,K32*C32),"")</f>
        <v/>
      </c>
      <c r="S32" s="98" t="s">
        <v>160</v>
      </c>
      <c r="T32" s="42"/>
      <c r="U32" s="42"/>
      <c r="V32" s="42"/>
      <c r="W32" s="35"/>
      <c r="X32" s="35"/>
      <c r="Y32" s="35"/>
      <c r="Z32" s="35"/>
      <c r="AA32" s="35"/>
      <c r="AB32" s="35"/>
      <c r="AC32" s="35"/>
      <c r="AD32" s="35"/>
      <c r="AE32" s="35"/>
      <c r="AF32" s="35"/>
      <c r="AG32" s="35"/>
      <c r="AH32" s="35"/>
      <c r="AI32" s="35"/>
      <c r="AJ32" s="35"/>
      <c r="AK32" s="36"/>
      <c r="AL32" s="36"/>
      <c r="AM32" s="36"/>
      <c r="AN32" s="36"/>
      <c r="AO32" s="36"/>
      <c r="AP32" s="36"/>
      <c r="AQ32" s="36"/>
      <c r="AR32" s="36"/>
      <c r="AS32" s="36"/>
      <c r="AT32" s="36"/>
      <c r="AU32" s="36"/>
      <c r="AV32" s="36"/>
      <c r="AW32" s="36"/>
      <c r="AX32" s="36"/>
      <c r="AY32" s="36"/>
      <c r="AZ32" s="36"/>
      <c r="BA32" s="36"/>
      <c r="BB32" s="36"/>
    </row>
    <row r="33" spans="1:56" s="30" customFormat="1" ht="15" x14ac:dyDescent="0.2">
      <c r="B33" s="166" t="s">
        <v>460</v>
      </c>
      <c r="C33" s="156" t="s">
        <v>309</v>
      </c>
      <c r="D33" s="33"/>
      <c r="E33" s="33"/>
      <c r="F33" s="33"/>
      <c r="G33" s="33"/>
      <c r="H33" s="57"/>
      <c r="J33" s="169"/>
      <c r="K33" s="169"/>
      <c r="L33" s="169"/>
      <c r="M33" s="40"/>
      <c r="N33" s="40"/>
      <c r="O33" s="250"/>
      <c r="Q33" s="45"/>
      <c r="R33" s="98"/>
      <c r="S33" s="98"/>
      <c r="T33" s="35"/>
      <c r="U33" s="35"/>
      <c r="V33" s="177"/>
      <c r="W33" s="177"/>
      <c r="X33" s="59"/>
      <c r="Y33" s="35"/>
      <c r="Z33" s="59"/>
      <c r="AA33" s="178"/>
      <c r="AB33" s="59"/>
      <c r="AC33" s="59"/>
      <c r="AD33" s="59"/>
      <c r="AE33" s="59"/>
      <c r="AF33" s="178"/>
      <c r="AG33" s="59"/>
      <c r="AH33" s="104"/>
      <c r="AI33" s="35"/>
      <c r="AJ33" s="35"/>
      <c r="AK33" s="36"/>
      <c r="AL33" s="36"/>
      <c r="AM33" s="36"/>
      <c r="AN33" s="36"/>
      <c r="AO33" s="36"/>
      <c r="AP33" s="36"/>
      <c r="AQ33" s="36"/>
      <c r="AR33" s="36"/>
      <c r="AS33" s="36"/>
      <c r="AT33" s="36"/>
      <c r="AU33" s="36"/>
      <c r="AV33" s="36"/>
      <c r="AW33" s="36"/>
      <c r="AX33" s="36"/>
      <c r="AY33" s="36"/>
      <c r="AZ33" s="36"/>
      <c r="BA33" s="36"/>
      <c r="BB33" s="36"/>
    </row>
    <row r="34" spans="1:56" s="30" customFormat="1" ht="15" x14ac:dyDescent="0.2">
      <c r="B34" s="38" t="s">
        <v>358</v>
      </c>
      <c r="C34" s="152"/>
      <c r="D34" s="85" t="s">
        <v>163</v>
      </c>
      <c r="E34" s="31"/>
      <c r="F34" s="31"/>
      <c r="G34" s="33"/>
      <c r="H34" s="81"/>
      <c r="J34" s="32" t="s">
        <v>407</v>
      </c>
      <c r="K34" s="92" t="str">
        <f>IFERROR(Muut!$F$8*VLOOKUP(C35,Muut!$D$40:$E$43,2,FALSE),"--")</f>
        <v>--</v>
      </c>
      <c r="L34" s="39"/>
      <c r="M34" s="40" t="s">
        <v>207</v>
      </c>
      <c r="N34" s="40"/>
      <c r="O34" s="250"/>
      <c r="Q34" s="34"/>
      <c r="R34" s="46" t="str">
        <f>IF(ISNUMBER(C34),IF(ISNUMBER(L34),L34*C34,K34*C34),"")</f>
        <v/>
      </c>
      <c r="S34" s="98" t="s">
        <v>160</v>
      </c>
      <c r="T34" s="42"/>
      <c r="U34" s="42"/>
      <c r="V34" s="42"/>
      <c r="W34" s="35"/>
      <c r="X34" s="35"/>
      <c r="Y34" s="35"/>
      <c r="Z34" s="35"/>
      <c r="AA34" s="35"/>
      <c r="AB34" s="35"/>
      <c r="AC34" s="35"/>
      <c r="AD34" s="35"/>
      <c r="AE34" s="35"/>
      <c r="AF34" s="35"/>
      <c r="AG34" s="35"/>
      <c r="AH34" s="35"/>
      <c r="AI34" s="35"/>
      <c r="AJ34" s="35"/>
      <c r="AK34" s="36"/>
      <c r="AL34" s="36"/>
      <c r="AM34" s="36"/>
      <c r="AN34" s="36"/>
      <c r="AO34" s="36"/>
      <c r="AP34" s="36"/>
      <c r="AQ34" s="36"/>
      <c r="AR34" s="36"/>
      <c r="AS34" s="36"/>
      <c r="AT34" s="36"/>
      <c r="AU34" s="36"/>
      <c r="AV34" s="36"/>
      <c r="AW34" s="36"/>
      <c r="AX34" s="36"/>
      <c r="AY34" s="36"/>
      <c r="AZ34" s="36"/>
      <c r="BA34" s="36"/>
      <c r="BB34" s="36"/>
    </row>
    <row r="35" spans="1:56" s="30" customFormat="1" ht="15" x14ac:dyDescent="0.2">
      <c r="B35" s="166" t="s">
        <v>460</v>
      </c>
      <c r="C35" s="156" t="s">
        <v>309</v>
      </c>
      <c r="D35" s="33"/>
      <c r="E35" s="33"/>
      <c r="F35" s="33"/>
      <c r="G35" s="33"/>
      <c r="H35" s="57"/>
      <c r="J35" s="169"/>
      <c r="K35" s="169"/>
      <c r="L35" s="169"/>
      <c r="M35" s="40"/>
      <c r="N35" s="40"/>
      <c r="O35" s="250"/>
      <c r="Q35" s="45"/>
      <c r="R35" s="98"/>
      <c r="S35" s="98"/>
      <c r="T35" s="35"/>
      <c r="U35" s="35"/>
      <c r="V35" s="177"/>
      <c r="W35" s="177"/>
      <c r="X35" s="59"/>
      <c r="Y35" s="35"/>
      <c r="Z35" s="59"/>
      <c r="AA35" s="178"/>
      <c r="AB35" s="59"/>
      <c r="AC35" s="59"/>
      <c r="AD35" s="59"/>
      <c r="AE35" s="59"/>
      <c r="AF35" s="178"/>
      <c r="AG35" s="59"/>
      <c r="AH35" s="104"/>
      <c r="AI35" s="35"/>
      <c r="AJ35" s="35"/>
      <c r="AK35" s="36"/>
      <c r="AL35" s="36"/>
      <c r="AM35" s="36"/>
      <c r="AN35" s="36"/>
      <c r="AO35" s="36"/>
      <c r="AP35" s="36"/>
      <c r="AQ35" s="36"/>
      <c r="AR35" s="36"/>
      <c r="AS35" s="36"/>
      <c r="AT35" s="36"/>
      <c r="AU35" s="36"/>
      <c r="AV35" s="36"/>
      <c r="AW35" s="36"/>
      <c r="AX35" s="36"/>
      <c r="AY35" s="36"/>
      <c r="AZ35" s="36"/>
      <c r="BA35" s="36"/>
      <c r="BB35" s="36"/>
    </row>
    <row r="36" spans="1:56" s="30" customFormat="1" ht="15.75" x14ac:dyDescent="0.2">
      <c r="B36" s="8"/>
      <c r="C36" s="33"/>
      <c r="D36" s="81"/>
      <c r="G36" s="33"/>
      <c r="H36" s="81"/>
      <c r="K36" s="33"/>
      <c r="L36" s="33"/>
      <c r="M36" s="81"/>
      <c r="N36" s="81"/>
      <c r="O36" s="249"/>
      <c r="Q36" s="34"/>
      <c r="R36" s="35"/>
      <c r="S36" s="35"/>
      <c r="T36" s="35"/>
      <c r="U36" s="35"/>
      <c r="V36" s="35"/>
      <c r="W36" s="35"/>
      <c r="X36" s="35"/>
      <c r="Y36" s="35"/>
      <c r="Z36" s="35"/>
      <c r="AA36" s="35"/>
      <c r="AB36" s="35"/>
      <c r="AC36" s="35"/>
      <c r="AD36" s="35"/>
      <c r="AE36" s="35"/>
      <c r="AF36" s="35"/>
      <c r="AG36" s="35"/>
      <c r="AH36" s="35"/>
      <c r="AI36" s="35"/>
      <c r="AJ36" s="35"/>
      <c r="AK36" s="36"/>
      <c r="AL36" s="36"/>
      <c r="AM36" s="36"/>
      <c r="AN36" s="36"/>
      <c r="AO36" s="36"/>
      <c r="AP36" s="36"/>
      <c r="AQ36" s="36"/>
      <c r="AR36" s="36"/>
      <c r="AS36" s="36"/>
      <c r="AT36" s="36"/>
      <c r="AU36" s="36"/>
      <c r="AV36" s="36"/>
      <c r="AW36" s="36"/>
      <c r="AX36" s="36"/>
      <c r="AY36" s="36"/>
      <c r="AZ36" s="36"/>
      <c r="BA36" s="36"/>
      <c r="BB36" s="36"/>
    </row>
    <row r="37" spans="1:56" ht="18" x14ac:dyDescent="0.2">
      <c r="A37" s="298"/>
      <c r="B37" s="286" t="s">
        <v>430</v>
      </c>
      <c r="C37" s="298"/>
      <c r="D37" s="297"/>
      <c r="E37" s="298"/>
      <c r="F37" s="298"/>
      <c r="G37" s="298"/>
      <c r="H37" s="297"/>
      <c r="I37" s="298"/>
      <c r="J37" s="299"/>
      <c r="K37" s="298"/>
      <c r="L37" s="298"/>
      <c r="M37" s="297"/>
      <c r="N37" s="297"/>
      <c r="O37" s="300"/>
      <c r="P37" s="304"/>
      <c r="Q37" s="298"/>
      <c r="R37" s="303"/>
      <c r="S37" s="303"/>
      <c r="T37" s="303"/>
      <c r="U37" s="302"/>
      <c r="V37" s="302"/>
      <c r="W37" s="302"/>
      <c r="X37" s="302"/>
      <c r="Y37" s="302"/>
      <c r="Z37" s="302"/>
      <c r="AA37" s="302"/>
      <c r="AB37" s="302"/>
      <c r="AC37" s="302"/>
      <c r="AD37" s="302"/>
      <c r="AE37" s="302"/>
      <c r="AF37" s="302"/>
      <c r="AG37" s="302"/>
      <c r="AH37" s="302"/>
      <c r="AI37" s="302"/>
      <c r="AJ37" s="302"/>
      <c r="AK37" s="302"/>
      <c r="AL37" s="302"/>
      <c r="AM37" s="303"/>
      <c r="AN37" s="303"/>
      <c r="AO37" s="303"/>
      <c r="AP37" s="303"/>
      <c r="AQ37" s="303"/>
      <c r="AR37" s="303"/>
      <c r="AS37" s="303"/>
      <c r="AT37" s="303"/>
      <c r="AU37" s="303"/>
      <c r="AV37" s="303"/>
      <c r="AW37" s="303"/>
      <c r="AX37" s="303"/>
      <c r="AY37" s="303"/>
      <c r="AZ37" s="303"/>
      <c r="BA37" s="303"/>
      <c r="BB37" s="303"/>
    </row>
    <row r="38" spans="1:56" s="30" customFormat="1" ht="15.75" x14ac:dyDescent="0.2">
      <c r="B38" s="8"/>
      <c r="D38" s="81"/>
      <c r="H38" s="81"/>
      <c r="J38" s="32"/>
      <c r="K38" s="37" t="s">
        <v>297</v>
      </c>
      <c r="L38" s="37" t="s">
        <v>185</v>
      </c>
      <c r="M38" s="81"/>
      <c r="N38" s="81"/>
      <c r="O38" s="249" t="s">
        <v>584</v>
      </c>
      <c r="P38" s="144"/>
      <c r="Q38" s="36"/>
      <c r="R38" s="35" t="s">
        <v>318</v>
      </c>
      <c r="S38" s="35"/>
      <c r="T38" s="35" t="s">
        <v>423</v>
      </c>
      <c r="U38" s="35" t="s">
        <v>319</v>
      </c>
      <c r="V38" s="35" t="s">
        <v>320</v>
      </c>
      <c r="W38" s="35"/>
      <c r="X38" s="35"/>
      <c r="Y38" s="35"/>
      <c r="Z38" s="35"/>
      <c r="AA38" s="35"/>
      <c r="AB38" s="35"/>
      <c r="AC38" s="35"/>
      <c r="AD38" s="35"/>
      <c r="AE38" s="35"/>
      <c r="AF38" s="35"/>
      <c r="AG38" s="35"/>
      <c r="AH38" s="35"/>
      <c r="AI38" s="35"/>
      <c r="AJ38" s="35"/>
      <c r="AK38" s="35"/>
      <c r="AL38" s="35"/>
      <c r="AM38" s="36"/>
      <c r="AN38" s="36"/>
      <c r="AO38" s="36"/>
      <c r="AP38" s="36"/>
      <c r="AQ38" s="36"/>
      <c r="AR38" s="36"/>
      <c r="AS38" s="36"/>
      <c r="AT38" s="36"/>
      <c r="AU38" s="36"/>
      <c r="AV38" s="36"/>
      <c r="AW38" s="36"/>
      <c r="AX38" s="36"/>
      <c r="AY38" s="36"/>
      <c r="AZ38" s="36"/>
      <c r="BA38" s="36"/>
      <c r="BB38" s="36"/>
      <c r="BC38" s="54"/>
      <c r="BD38" s="54"/>
    </row>
    <row r="39" spans="1:56" s="30" customFormat="1" ht="15" x14ac:dyDescent="0.2">
      <c r="B39" s="52" t="s">
        <v>620</v>
      </c>
      <c r="C39" s="71" t="str">
        <f>G4</f>
        <v/>
      </c>
      <c r="D39" s="85" t="s">
        <v>163</v>
      </c>
      <c r="H39" s="81"/>
      <c r="J39" s="32" t="s">
        <v>424</v>
      </c>
      <c r="K39" s="106" t="str">
        <f>IFERROR(IF(ISNUMBER(L39),L39,(VLOOKUP(C40,Kalusto!$C$5:$E$42,3,FALSE)*VLOOKUP(C41,Muut!$D$40:$E$43,2,FALSE))),"--")</f>
        <v>--</v>
      </c>
      <c r="L39" s="39"/>
      <c r="M39" s="40" t="s">
        <v>189</v>
      </c>
      <c r="N39" s="40"/>
      <c r="O39" s="250"/>
      <c r="P39" s="147"/>
      <c r="Q39" s="36"/>
      <c r="R39" s="48" t="str">
        <f>IF(ISNUMBER(K39*V39),K39*V39,"")</f>
        <v/>
      </c>
      <c r="S39" s="98" t="s">
        <v>160</v>
      </c>
      <c r="T39" s="48" t="str">
        <f>IF(ISNUMBER(C39),C39,"")</f>
        <v/>
      </c>
      <c r="U39" s="439">
        <f>IF(D42="h","",IF(ISNUMBER(C42),C42,""))</f>
        <v>1.2E-2</v>
      </c>
      <c r="V39" s="48" t="str">
        <f>IF(ISNUMBER(T39),IF(D42="h",C42,IF(ISNUMBER(T39*U39),IF(D42="m3/h",T39/U39,T39*U39),"")),"")</f>
        <v/>
      </c>
      <c r="W39" s="35"/>
      <c r="X39" s="59"/>
      <c r="Y39" s="59"/>
      <c r="Z39" s="59"/>
      <c r="AA39" s="35"/>
      <c r="AB39" s="35"/>
      <c r="AC39" s="60"/>
      <c r="AD39" s="35"/>
      <c r="AE39" s="35"/>
      <c r="AF39" s="35"/>
      <c r="AG39" s="35"/>
      <c r="AH39" s="35"/>
      <c r="AI39" s="35"/>
      <c r="AJ39" s="35"/>
      <c r="AK39" s="35"/>
      <c r="AL39" s="35"/>
      <c r="AM39" s="36"/>
      <c r="AN39" s="36"/>
      <c r="AO39" s="36"/>
      <c r="AP39" s="36"/>
      <c r="AQ39" s="36"/>
      <c r="AR39" s="36"/>
      <c r="AS39" s="36"/>
      <c r="AT39" s="36"/>
      <c r="AU39" s="36"/>
      <c r="AV39" s="36"/>
      <c r="AW39" s="36"/>
      <c r="AX39" s="36"/>
      <c r="AY39" s="36"/>
      <c r="AZ39" s="36"/>
      <c r="BA39" s="36"/>
      <c r="BB39" s="36"/>
      <c r="BC39" s="54"/>
      <c r="BD39" s="54"/>
    </row>
    <row r="40" spans="1:56" s="30" customFormat="1" ht="15" x14ac:dyDescent="0.2">
      <c r="B40" s="52" t="s">
        <v>461</v>
      </c>
      <c r="C40" s="471" t="s">
        <v>300</v>
      </c>
      <c r="D40" s="472"/>
      <c r="E40" s="472"/>
      <c r="F40" s="472"/>
      <c r="G40" s="473"/>
      <c r="J40" s="32"/>
      <c r="K40" s="33"/>
      <c r="L40" s="33"/>
      <c r="M40" s="81"/>
      <c r="N40" s="81"/>
      <c r="O40" s="250"/>
      <c r="P40" s="143"/>
      <c r="Q40" s="101"/>
      <c r="R40" s="95"/>
      <c r="S40" s="35"/>
      <c r="T40" s="35"/>
      <c r="U40" s="35"/>
      <c r="V40" s="35"/>
      <c r="W40" s="35"/>
      <c r="X40" s="35"/>
      <c r="Y40" s="35"/>
      <c r="Z40" s="35"/>
      <c r="AA40" s="35"/>
      <c r="AB40" s="35"/>
      <c r="AC40" s="35"/>
      <c r="AD40" s="35"/>
      <c r="AE40" s="35"/>
      <c r="AF40" s="35"/>
      <c r="AG40" s="35"/>
      <c r="AH40" s="35"/>
      <c r="AI40" s="35"/>
      <c r="AJ40" s="35"/>
      <c r="AK40" s="35"/>
      <c r="AL40" s="35"/>
      <c r="AM40" s="36"/>
      <c r="AN40" s="36"/>
      <c r="AO40" s="36"/>
      <c r="AP40" s="36"/>
      <c r="AQ40" s="36"/>
      <c r="AR40" s="36"/>
      <c r="AS40" s="36"/>
      <c r="AT40" s="36"/>
      <c r="AU40" s="36"/>
      <c r="AV40" s="36"/>
      <c r="AW40" s="36"/>
      <c r="AX40" s="36"/>
      <c r="AY40" s="36"/>
      <c r="AZ40" s="36"/>
      <c r="BA40" s="36"/>
      <c r="BB40" s="36"/>
      <c r="BC40" s="54"/>
      <c r="BD40" s="54"/>
    </row>
    <row r="41" spans="1:56" s="30" customFormat="1" ht="15" x14ac:dyDescent="0.2">
      <c r="B41" s="166" t="s">
        <v>460</v>
      </c>
      <c r="C41" s="156" t="s">
        <v>309</v>
      </c>
      <c r="D41" s="33"/>
      <c r="E41" s="33"/>
      <c r="F41" s="33"/>
      <c r="G41" s="33"/>
      <c r="H41" s="57"/>
      <c r="J41" s="169"/>
      <c r="K41" s="169"/>
      <c r="L41" s="169"/>
      <c r="M41" s="40"/>
      <c r="N41" s="40"/>
      <c r="O41" s="250"/>
      <c r="Q41" s="45"/>
      <c r="R41" s="98"/>
      <c r="S41" s="98"/>
      <c r="T41" s="35"/>
      <c r="U41" s="35"/>
      <c r="V41" s="177"/>
      <c r="W41" s="177"/>
      <c r="X41" s="59"/>
      <c r="Y41" s="35"/>
      <c r="Z41" s="59"/>
      <c r="AA41" s="178"/>
      <c r="AB41" s="59"/>
      <c r="AC41" s="59"/>
      <c r="AD41" s="59"/>
      <c r="AE41" s="59"/>
      <c r="AF41" s="178"/>
      <c r="AG41" s="59"/>
      <c r="AH41" s="104"/>
      <c r="AI41" s="35"/>
      <c r="AJ41" s="35"/>
      <c r="AK41" s="36"/>
      <c r="AL41" s="36"/>
      <c r="AM41" s="36"/>
      <c r="AN41" s="36"/>
      <c r="AO41" s="36"/>
      <c r="AP41" s="36"/>
      <c r="AQ41" s="36"/>
      <c r="AR41" s="36"/>
      <c r="AS41" s="36"/>
      <c r="AT41" s="36"/>
      <c r="AU41" s="36"/>
      <c r="AV41" s="36"/>
      <c r="AW41" s="36"/>
      <c r="AX41" s="36"/>
      <c r="AY41" s="36"/>
      <c r="AZ41" s="36"/>
      <c r="BA41" s="36"/>
      <c r="BB41" s="36"/>
    </row>
    <row r="42" spans="1:56" s="30" customFormat="1" ht="30" x14ac:dyDescent="0.2">
      <c r="B42" s="76" t="s">
        <v>462</v>
      </c>
      <c r="C42" s="202">
        <v>1.2E-2</v>
      </c>
      <c r="D42" s="86" t="s">
        <v>147</v>
      </c>
      <c r="H42" s="81"/>
      <c r="J42" s="167" t="s">
        <v>531</v>
      </c>
      <c r="M42" s="81"/>
      <c r="N42" s="81"/>
      <c r="O42" s="250"/>
      <c r="P42" s="145"/>
      <c r="Q42" s="101"/>
      <c r="R42" s="95"/>
      <c r="S42" s="35"/>
      <c r="T42" s="35"/>
      <c r="U42" s="35"/>
      <c r="V42" s="35"/>
      <c r="W42" s="35"/>
      <c r="X42" s="35"/>
      <c r="Y42" s="35"/>
      <c r="Z42" s="35"/>
      <c r="AA42" s="35"/>
      <c r="AB42" s="35"/>
      <c r="AC42" s="35"/>
      <c r="AD42" s="35"/>
      <c r="AE42" s="35"/>
      <c r="AF42" s="35"/>
      <c r="AG42" s="35"/>
      <c r="AH42" s="35"/>
      <c r="AI42" s="35"/>
      <c r="AJ42" s="35"/>
      <c r="AK42" s="35"/>
      <c r="AL42" s="35"/>
      <c r="AM42" s="36"/>
      <c r="AN42" s="36"/>
      <c r="AO42" s="36"/>
      <c r="AP42" s="36"/>
      <c r="AQ42" s="36"/>
      <c r="AR42" s="36"/>
      <c r="AS42" s="36"/>
      <c r="AT42" s="36"/>
      <c r="AU42" s="36"/>
      <c r="AV42" s="36"/>
      <c r="AW42" s="36"/>
      <c r="AX42" s="36"/>
      <c r="AY42" s="36"/>
      <c r="AZ42" s="36"/>
      <c r="BA42" s="36"/>
      <c r="BB42" s="36"/>
      <c r="BC42" s="54"/>
      <c r="BD42" s="54"/>
    </row>
    <row r="43" spans="1:56" s="30" customFormat="1" ht="15" x14ac:dyDescent="0.2">
      <c r="C43" s="63"/>
      <c r="D43" s="81"/>
      <c r="H43" s="81"/>
      <c r="J43" s="32"/>
      <c r="M43" s="81"/>
      <c r="N43" s="81"/>
      <c r="O43" s="249"/>
      <c r="P43" s="67"/>
      <c r="Q43" s="36"/>
      <c r="R43" s="95"/>
      <c r="S43" s="35"/>
      <c r="T43" s="35"/>
      <c r="U43" s="35"/>
      <c r="V43" s="35"/>
      <c r="W43" s="35"/>
      <c r="X43" s="35"/>
      <c r="Y43" s="35"/>
      <c r="Z43" s="35"/>
      <c r="AA43" s="35"/>
      <c r="AB43" s="35"/>
      <c r="AC43" s="35"/>
      <c r="AD43" s="35"/>
      <c r="AE43" s="35"/>
      <c r="AF43" s="35"/>
      <c r="AG43" s="35"/>
      <c r="AH43" s="35"/>
      <c r="AI43" s="35"/>
      <c r="AJ43" s="35"/>
      <c r="AK43" s="35"/>
      <c r="AL43" s="35"/>
      <c r="AM43" s="36"/>
      <c r="AN43" s="36"/>
      <c r="AO43" s="36"/>
      <c r="AP43" s="36"/>
      <c r="AQ43" s="36"/>
      <c r="AR43" s="36"/>
      <c r="AS43" s="36"/>
      <c r="AT43" s="36"/>
      <c r="AU43" s="36"/>
      <c r="AV43" s="36"/>
      <c r="AW43" s="36"/>
      <c r="AX43" s="36"/>
      <c r="AY43" s="36"/>
      <c r="AZ43" s="36"/>
      <c r="BA43" s="36"/>
      <c r="BB43" s="36"/>
      <c r="BC43" s="54"/>
      <c r="BD43" s="54"/>
    </row>
    <row r="44" spans="1:56" s="30" customFormat="1" ht="18" x14ac:dyDescent="0.2">
      <c r="A44" s="289"/>
      <c r="B44" s="286" t="s">
        <v>632</v>
      </c>
      <c r="C44" s="287"/>
      <c r="D44" s="288"/>
      <c r="E44" s="287"/>
      <c r="F44" s="287"/>
      <c r="G44" s="290"/>
      <c r="H44" s="288"/>
      <c r="I44" s="289"/>
      <c r="J44" s="306"/>
      <c r="K44" s="290"/>
      <c r="L44" s="290"/>
      <c r="M44" s="310"/>
      <c r="N44" s="310"/>
      <c r="O44" s="291"/>
      <c r="P44" s="307"/>
      <c r="Q44" s="289"/>
      <c r="R44" s="294"/>
      <c r="S44" s="294"/>
      <c r="T44" s="294"/>
      <c r="U44" s="294"/>
      <c r="V44" s="294"/>
      <c r="W44" s="294"/>
      <c r="X44" s="294"/>
      <c r="Y44" s="294"/>
      <c r="Z44" s="294"/>
      <c r="AA44" s="294"/>
      <c r="AB44" s="294"/>
      <c r="AC44" s="294"/>
      <c r="AD44" s="294"/>
      <c r="AE44" s="294"/>
      <c r="AF44" s="294"/>
      <c r="AG44" s="294"/>
      <c r="AH44" s="294"/>
      <c r="AI44" s="294"/>
      <c r="AJ44" s="294"/>
      <c r="AK44" s="294"/>
      <c r="AL44" s="294"/>
      <c r="AM44" s="295"/>
      <c r="AN44" s="295"/>
      <c r="AO44" s="295"/>
      <c r="AP44" s="295"/>
      <c r="AQ44" s="295"/>
      <c r="AR44" s="295"/>
      <c r="AS44" s="295"/>
      <c r="AT44" s="295"/>
      <c r="AU44" s="295"/>
      <c r="AV44" s="295"/>
      <c r="AW44" s="295"/>
      <c r="AX44" s="295"/>
      <c r="AY44" s="295"/>
      <c r="AZ44" s="295"/>
      <c r="BA44" s="295"/>
      <c r="BB44" s="295"/>
      <c r="BC44" s="54"/>
      <c r="BD44" s="54"/>
    </row>
    <row r="45" spans="1:56" s="30" customFormat="1" ht="15" x14ac:dyDescent="0.2">
      <c r="B45" s="30" t="s">
        <v>736</v>
      </c>
      <c r="C45" s="33"/>
      <c r="D45" s="81"/>
      <c r="E45" s="33"/>
      <c r="F45" s="33"/>
      <c r="G45" s="37"/>
      <c r="H45" s="81"/>
      <c r="J45" s="32"/>
      <c r="K45" s="37"/>
      <c r="L45" s="37"/>
      <c r="M45" s="83"/>
      <c r="N45" s="83"/>
      <c r="O45" s="249"/>
      <c r="P45" s="37"/>
      <c r="R45" s="53"/>
      <c r="S45" s="53"/>
      <c r="T45" s="53"/>
      <c r="U45" s="53"/>
      <c r="V45" s="53"/>
      <c r="W45" s="53"/>
      <c r="X45" s="53"/>
      <c r="Y45" s="53"/>
      <c r="Z45" s="53"/>
      <c r="AA45" s="53"/>
      <c r="AB45" s="53"/>
      <c r="AC45" s="53"/>
      <c r="AD45" s="53"/>
      <c r="AE45" s="53"/>
      <c r="AF45" s="53"/>
      <c r="AG45" s="53"/>
      <c r="AH45" s="53"/>
      <c r="AI45" s="53"/>
      <c r="AJ45" s="53"/>
      <c r="AK45" s="53"/>
      <c r="AL45" s="53"/>
      <c r="AM45" s="54"/>
      <c r="AN45" s="54"/>
      <c r="AO45" s="54"/>
      <c r="AP45" s="54"/>
      <c r="AQ45" s="54"/>
      <c r="AR45" s="54"/>
      <c r="AS45" s="54"/>
      <c r="AT45" s="54"/>
      <c r="AU45" s="54"/>
      <c r="AV45" s="54"/>
      <c r="AW45" s="54"/>
      <c r="AX45" s="54"/>
      <c r="AY45" s="54"/>
      <c r="AZ45" s="54"/>
      <c r="BA45" s="54"/>
      <c r="BB45" s="54"/>
      <c r="BC45" s="54"/>
      <c r="BD45" s="54"/>
    </row>
    <row r="46" spans="1:56" s="30" customFormat="1" ht="12" customHeight="1" x14ac:dyDescent="0.2">
      <c r="B46" s="8"/>
      <c r="C46" s="33"/>
      <c r="D46" s="81"/>
      <c r="E46" s="33"/>
      <c r="F46" s="33"/>
      <c r="G46" s="37"/>
      <c r="H46" s="81"/>
      <c r="J46" s="32"/>
      <c r="K46" s="37"/>
      <c r="L46" s="37"/>
      <c r="M46" s="83"/>
      <c r="N46" s="83"/>
      <c r="O46" s="249" t="s">
        <v>584</v>
      </c>
      <c r="P46" s="37"/>
      <c r="Q46" s="34"/>
      <c r="R46" s="95"/>
      <c r="S46" s="35"/>
      <c r="T46" s="35"/>
      <c r="U46" s="35"/>
      <c r="V46" s="35"/>
      <c r="W46" s="35"/>
      <c r="X46" s="35"/>
      <c r="Y46" s="35"/>
      <c r="Z46" s="35"/>
      <c r="AA46" s="35"/>
      <c r="AB46" s="35"/>
      <c r="AC46" s="35"/>
      <c r="AD46" s="35"/>
      <c r="AE46" s="35"/>
      <c r="AF46" s="35"/>
      <c r="AG46" s="35"/>
      <c r="AH46" s="35"/>
      <c r="AI46" s="35"/>
      <c r="AJ46" s="35"/>
      <c r="AK46" s="36"/>
      <c r="AL46" s="36"/>
      <c r="AM46" s="36"/>
      <c r="AN46" s="36"/>
      <c r="AO46" s="36"/>
      <c r="AP46" s="36"/>
      <c r="AQ46" s="36"/>
      <c r="AR46" s="36"/>
      <c r="AS46" s="36"/>
      <c r="AT46" s="36"/>
      <c r="AU46" s="36"/>
      <c r="AV46" s="36"/>
      <c r="AW46" s="36"/>
      <c r="AX46" s="36"/>
      <c r="AY46" s="36"/>
      <c r="AZ46" s="36"/>
      <c r="BA46" s="36"/>
      <c r="BB46" s="36"/>
    </row>
    <row r="47" spans="1:56" s="30" customFormat="1" ht="15" x14ac:dyDescent="0.2">
      <c r="B47" s="151" t="s">
        <v>411</v>
      </c>
      <c r="C47" s="33" t="s">
        <v>50</v>
      </c>
      <c r="D47" s="81"/>
      <c r="E47" s="33"/>
      <c r="F47" s="33"/>
      <c r="G47" s="37" t="s">
        <v>183</v>
      </c>
      <c r="H47" s="81"/>
      <c r="J47" s="32"/>
      <c r="K47" s="37" t="s">
        <v>297</v>
      </c>
      <c r="L47" s="37" t="s">
        <v>185</v>
      </c>
      <c r="M47" s="83"/>
      <c r="N47" s="83"/>
      <c r="O47" s="250"/>
      <c r="P47" s="37"/>
      <c r="Q47" s="34"/>
      <c r="R47" s="59" t="s">
        <v>318</v>
      </c>
      <c r="S47" s="35"/>
      <c r="T47" s="35" t="s">
        <v>400</v>
      </c>
      <c r="U47" s="35" t="s">
        <v>399</v>
      </c>
      <c r="V47" s="35" t="s">
        <v>397</v>
      </c>
      <c r="W47" s="35" t="s">
        <v>398</v>
      </c>
      <c r="X47" s="35" t="s">
        <v>401</v>
      </c>
      <c r="Y47" s="35" t="s">
        <v>403</v>
      </c>
      <c r="Z47" s="35" t="s">
        <v>402</v>
      </c>
      <c r="AA47" s="35" t="s">
        <v>186</v>
      </c>
      <c r="AB47" s="35" t="s">
        <v>345</v>
      </c>
      <c r="AC47" s="35" t="s">
        <v>404</v>
      </c>
      <c r="AD47" s="35" t="s">
        <v>346</v>
      </c>
      <c r="AE47" s="35" t="s">
        <v>405</v>
      </c>
      <c r="AF47" s="35" t="s">
        <v>406</v>
      </c>
      <c r="AG47" s="35" t="s">
        <v>578</v>
      </c>
      <c r="AH47" s="104"/>
      <c r="AI47" s="35"/>
      <c r="AJ47" s="35"/>
      <c r="AK47" s="36"/>
      <c r="AL47" s="36"/>
      <c r="AM47" s="36"/>
      <c r="AN47" s="36"/>
      <c r="AO47" s="36"/>
      <c r="AP47" s="36"/>
      <c r="AQ47" s="36"/>
      <c r="AR47" s="36"/>
      <c r="AS47" s="36"/>
      <c r="AT47" s="36"/>
      <c r="AU47" s="36"/>
      <c r="AV47" s="36"/>
      <c r="AW47" s="36"/>
      <c r="AX47" s="36"/>
      <c r="AY47" s="36"/>
      <c r="AZ47" s="36"/>
      <c r="BA47" s="36"/>
      <c r="BB47" s="36"/>
    </row>
    <row r="48" spans="1:56" s="30" customFormat="1" ht="30" x14ac:dyDescent="0.2">
      <c r="B48" s="166" t="s">
        <v>464</v>
      </c>
      <c r="C48" s="152"/>
      <c r="D48" s="86" t="s">
        <v>163</v>
      </c>
      <c r="E48" s="172"/>
      <c r="F48" s="55"/>
      <c r="G48" s="157"/>
      <c r="H48" s="81" t="str">
        <f>IF(D48="t","t/t","t/m3")</f>
        <v>t/m3</v>
      </c>
      <c r="I48" s="166"/>
      <c r="J48" s="169" t="s">
        <v>395</v>
      </c>
      <c r="K48" s="92" t="str">
        <f>IFERROR(IF(ISNUMBER(L48),L48,(VLOOKUP(C49,Kalusto!$C$45:$G$84,5,FALSE)*VLOOKUP(C50,Muut!$D$40:$E$43,2,FALSE))),"--")</f>
        <v>--</v>
      </c>
      <c r="L48" s="39"/>
      <c r="M48" s="40" t="s">
        <v>184</v>
      </c>
      <c r="N48" s="40"/>
      <c r="O48" s="250"/>
      <c r="Q48" s="45"/>
      <c r="R48" s="48" t="str">
        <f>IF(AND(NOT(ISNUMBER(AB48)),NOT(ISNUMBER(AG48))),"",IF(ISNUMBER(AB48),AB48,0)+IF(ISNUMBER(AG48),AG48,0))</f>
        <v/>
      </c>
      <c r="S48" s="98" t="s">
        <v>160</v>
      </c>
      <c r="T48" s="46" t="str">
        <f>IFERROR(IF(ISNUMBER(L48),"Kohdetieto",VLOOKUP(C49,Kalusto!$C$45:$L$84,7,FALSE)),"--")</f>
        <v>--</v>
      </c>
      <c r="U48" s="46" t="str">
        <f>IFERROR(IF(ISNUMBER(L48),"Kohdetieto",VLOOKUP(C49,Kalusto!$C$45:$L$84,8,FALSE)),"--")</f>
        <v>--</v>
      </c>
      <c r="V48" s="47" t="str">
        <f>IFERROR(IF(ISNUMBER(L48),"Kohdetieto",VLOOKUP(C49,Kalusto!$C$45:$L$84,9,FALSE)),"--")</f>
        <v>--</v>
      </c>
      <c r="W48" s="47" t="str">
        <f>IFERROR(IF(ISNUMBER(L48),"Kohdetieto",VLOOKUP(C49,Kalusto!$C$45:$L$84,10,FALSE)),"--")</f>
        <v>--</v>
      </c>
      <c r="X48" s="48" t="str">
        <f>IF(ISBLANK(C48),"",IF(D48="t",C48,C48*G48))</f>
        <v/>
      </c>
      <c r="Y48" s="46" t="str">
        <f>IF(ISNUMBER(C51),C51,"")</f>
        <v/>
      </c>
      <c r="Z48" s="48" t="str">
        <f>IF(ISNUMBER(X48/(U48*V48)*Y48),X48/(U48*V48)*Y48,"")</f>
        <v/>
      </c>
      <c r="AA48" s="49" t="str">
        <f>IF(ISNUMBER(L48),L48,K48)</f>
        <v>--</v>
      </c>
      <c r="AB48" s="48" t="str">
        <f>IF(ISNUMBER(Y48*X48*K48),Y48*X48*K48,"")</f>
        <v/>
      </c>
      <c r="AC48" s="48" t="str">
        <f>IF(C73="Kyllä",Y48,"")</f>
        <v/>
      </c>
      <c r="AD48" s="48" t="str">
        <f>IF(C73="Kyllä",IF(ISNUMBER(X48/(U48*V48)),X48/(U48*V48),""),"")</f>
        <v/>
      </c>
      <c r="AE48" s="48" t="str">
        <f>IF(ISNUMBER(AD48*AC48),AD48*AC48,"")</f>
        <v/>
      </c>
      <c r="AF48" s="49" t="str">
        <f>IF(ISNUMBER(L49),L49,K49)</f>
        <v>--</v>
      </c>
      <c r="AG48" s="48" t="str">
        <f>IF(ISNUMBER(AC48*AD48*K49),AC48*AD48*K49,"")</f>
        <v/>
      </c>
      <c r="AH48" s="104"/>
      <c r="AI48" s="35"/>
      <c r="AJ48" s="35"/>
      <c r="AK48" s="36"/>
      <c r="AL48" s="36"/>
      <c r="AM48" s="36"/>
      <c r="AN48" s="36"/>
      <c r="AO48" s="36"/>
      <c r="AP48" s="36"/>
      <c r="AQ48" s="36"/>
      <c r="AR48" s="36"/>
      <c r="AS48" s="36"/>
      <c r="AT48" s="36"/>
      <c r="AU48" s="36"/>
      <c r="AV48" s="36"/>
      <c r="AW48" s="36"/>
      <c r="AX48" s="36"/>
      <c r="AY48" s="36"/>
      <c r="AZ48" s="36"/>
      <c r="BA48" s="36"/>
      <c r="BB48" s="36"/>
    </row>
    <row r="49" spans="2:54" s="30" customFormat="1" ht="45" x14ac:dyDescent="0.2">
      <c r="B49" s="166" t="s">
        <v>463</v>
      </c>
      <c r="C49" s="471" t="s">
        <v>298</v>
      </c>
      <c r="D49" s="472"/>
      <c r="E49" s="472"/>
      <c r="F49" s="472"/>
      <c r="G49" s="473"/>
      <c r="H49" s="52"/>
      <c r="J49" s="32" t="s">
        <v>396</v>
      </c>
      <c r="K49" s="92" t="str">
        <f>IFERROR(IF(ISNUMBER(L49),L49,IF($C$73="Ei","",(VLOOKUP(C49,Kalusto!$C$45:$V$84,19,FALSE)*(VLOOKUP(C50,Muut!$D$40:$E$43,2,FALSE))))),"--")</f>
        <v>--</v>
      </c>
      <c r="L49" s="39"/>
      <c r="M49" s="40" t="s">
        <v>188</v>
      </c>
      <c r="N49" s="40"/>
      <c r="O49" s="250"/>
      <c r="P49" s="33"/>
      <c r="Q49" s="50"/>
      <c r="R49" s="35"/>
      <c r="S49" s="35"/>
      <c r="T49" s="35"/>
      <c r="U49" s="35"/>
      <c r="V49" s="35"/>
      <c r="W49" s="35"/>
      <c r="X49" s="35"/>
      <c r="Y49" s="35"/>
      <c r="Z49" s="35"/>
      <c r="AA49" s="35"/>
      <c r="AB49" s="35"/>
      <c r="AC49" s="35"/>
      <c r="AD49" s="35"/>
      <c r="AE49" s="35"/>
      <c r="AF49" s="35"/>
      <c r="AG49" s="35"/>
      <c r="AH49" s="104"/>
      <c r="AI49" s="35"/>
      <c r="AJ49" s="35"/>
      <c r="AK49" s="36"/>
      <c r="AL49" s="36"/>
      <c r="AM49" s="36"/>
      <c r="AN49" s="36"/>
      <c r="AO49" s="36"/>
      <c r="AP49" s="36"/>
      <c r="AQ49" s="36"/>
      <c r="AR49" s="36"/>
      <c r="AS49" s="36"/>
      <c r="AT49" s="36"/>
      <c r="AU49" s="36"/>
      <c r="AV49" s="36"/>
      <c r="AW49" s="36"/>
      <c r="AX49" s="36"/>
      <c r="AY49" s="36"/>
      <c r="AZ49" s="36"/>
      <c r="BA49" s="36"/>
      <c r="BB49" s="36"/>
    </row>
    <row r="50" spans="2:54" s="30" customFormat="1" ht="15" x14ac:dyDescent="0.2">
      <c r="B50" s="182" t="s">
        <v>457</v>
      </c>
      <c r="C50" s="156" t="s">
        <v>309</v>
      </c>
      <c r="D50" s="33"/>
      <c r="E50" s="33"/>
      <c r="F50" s="33"/>
      <c r="G50" s="33"/>
      <c r="H50" s="57"/>
      <c r="J50" s="169"/>
      <c r="K50" s="169"/>
      <c r="L50" s="169"/>
      <c r="M50" s="40"/>
      <c r="N50" s="40"/>
      <c r="O50" s="250"/>
      <c r="Q50" s="45"/>
      <c r="R50" s="98"/>
      <c r="S50" s="98"/>
      <c r="T50" s="35"/>
      <c r="U50" s="35"/>
      <c r="V50" s="177"/>
      <c r="W50" s="177"/>
      <c r="X50" s="59"/>
      <c r="Y50" s="35"/>
      <c r="Z50" s="59"/>
      <c r="AA50" s="178"/>
      <c r="AB50" s="59"/>
      <c r="AC50" s="59"/>
      <c r="AD50" s="59"/>
      <c r="AE50" s="59"/>
      <c r="AF50" s="178"/>
      <c r="AG50" s="59"/>
      <c r="AH50" s="104"/>
      <c r="AI50" s="35"/>
      <c r="AJ50" s="35"/>
      <c r="AK50" s="36"/>
      <c r="AL50" s="36"/>
      <c r="AM50" s="36"/>
      <c r="AN50" s="36"/>
      <c r="AO50" s="36"/>
      <c r="AP50" s="36"/>
      <c r="AQ50" s="36"/>
      <c r="AR50" s="36"/>
      <c r="AS50" s="36"/>
      <c r="AT50" s="36"/>
      <c r="AU50" s="36"/>
      <c r="AV50" s="36"/>
      <c r="AW50" s="36"/>
      <c r="AX50" s="36"/>
      <c r="AY50" s="36"/>
      <c r="AZ50" s="36"/>
      <c r="BA50" s="36"/>
      <c r="BB50" s="36"/>
    </row>
    <row r="51" spans="2:54" s="30" customFormat="1" ht="15" x14ac:dyDescent="0.2">
      <c r="B51" s="44" t="s">
        <v>465</v>
      </c>
      <c r="C51" s="152"/>
      <c r="D51" s="81" t="s">
        <v>5</v>
      </c>
      <c r="G51" s="33"/>
      <c r="H51" s="52"/>
      <c r="J51" s="51"/>
      <c r="K51" s="33"/>
      <c r="L51" s="33"/>
      <c r="M51" s="81"/>
      <c r="N51" s="81"/>
      <c r="O51" s="250"/>
      <c r="P51" s="51"/>
      <c r="Q51" s="50"/>
      <c r="R51" s="35"/>
      <c r="S51" s="35"/>
      <c r="T51" s="35"/>
      <c r="U51" s="35"/>
      <c r="V51" s="35"/>
      <c r="W51" s="35"/>
      <c r="X51" s="35"/>
      <c r="Y51" s="35"/>
      <c r="Z51" s="35"/>
      <c r="AA51" s="35"/>
      <c r="AB51" s="35"/>
      <c r="AC51" s="35"/>
      <c r="AD51" s="35"/>
      <c r="AE51" s="35"/>
      <c r="AF51" s="35"/>
      <c r="AG51" s="35"/>
      <c r="AH51" s="104"/>
      <c r="AI51" s="35"/>
      <c r="AJ51" s="35"/>
      <c r="AK51" s="36"/>
      <c r="AL51" s="36"/>
      <c r="AM51" s="36"/>
      <c r="AN51" s="36"/>
      <c r="AO51" s="36"/>
      <c r="AP51" s="36"/>
      <c r="AQ51" s="36"/>
      <c r="AR51" s="36"/>
      <c r="AS51" s="36"/>
      <c r="AT51" s="36"/>
      <c r="AU51" s="36"/>
      <c r="AV51" s="36"/>
      <c r="AW51" s="36"/>
      <c r="AX51" s="36"/>
      <c r="AY51" s="36"/>
      <c r="AZ51" s="36"/>
      <c r="BA51" s="36"/>
      <c r="BB51" s="36"/>
    </row>
    <row r="52" spans="2:54" s="30" customFormat="1" ht="15" x14ac:dyDescent="0.2">
      <c r="B52" s="151" t="s">
        <v>412</v>
      </c>
      <c r="C52" s="33"/>
      <c r="D52" s="81"/>
      <c r="G52" s="33"/>
      <c r="H52" s="81"/>
      <c r="J52" s="32"/>
      <c r="K52" s="37" t="s">
        <v>297</v>
      </c>
      <c r="L52" s="37" t="s">
        <v>185</v>
      </c>
      <c r="M52" s="81"/>
      <c r="N52" s="81"/>
      <c r="O52" s="250"/>
      <c r="P52" s="33"/>
      <c r="Q52" s="34"/>
      <c r="R52" s="59" t="s">
        <v>318</v>
      </c>
      <c r="S52" s="35"/>
      <c r="T52" s="35" t="s">
        <v>400</v>
      </c>
      <c r="U52" s="35" t="s">
        <v>399</v>
      </c>
      <c r="V52" s="35" t="s">
        <v>397</v>
      </c>
      <c r="W52" s="35" t="s">
        <v>398</v>
      </c>
      <c r="X52" s="35" t="s">
        <v>401</v>
      </c>
      <c r="Y52" s="35" t="s">
        <v>403</v>
      </c>
      <c r="Z52" s="35" t="s">
        <v>402</v>
      </c>
      <c r="AA52" s="35" t="s">
        <v>186</v>
      </c>
      <c r="AB52" s="35" t="s">
        <v>345</v>
      </c>
      <c r="AC52" s="35" t="s">
        <v>404</v>
      </c>
      <c r="AD52" s="35" t="s">
        <v>346</v>
      </c>
      <c r="AE52" s="35" t="s">
        <v>405</v>
      </c>
      <c r="AF52" s="35" t="s">
        <v>406</v>
      </c>
      <c r="AG52" s="35" t="s">
        <v>578</v>
      </c>
      <c r="AH52" s="104"/>
      <c r="AI52" s="35"/>
      <c r="AJ52" s="35"/>
      <c r="AK52" s="36"/>
      <c r="AL52" s="36"/>
      <c r="AM52" s="36"/>
      <c r="AN52" s="36"/>
      <c r="AO52" s="36"/>
      <c r="AP52" s="36"/>
      <c r="AQ52" s="36"/>
      <c r="AR52" s="36"/>
      <c r="AS52" s="36"/>
      <c r="AT52" s="36"/>
      <c r="AU52" s="36"/>
      <c r="AV52" s="36"/>
      <c r="AW52" s="36"/>
      <c r="AX52" s="36"/>
      <c r="AY52" s="36"/>
      <c r="AZ52" s="36"/>
      <c r="BA52" s="36"/>
      <c r="BB52" s="36"/>
    </row>
    <row r="53" spans="2:54" s="30" customFormat="1" ht="30" x14ac:dyDescent="0.2">
      <c r="B53" s="166" t="s">
        <v>464</v>
      </c>
      <c r="C53" s="385"/>
      <c r="D53" s="86" t="s">
        <v>163</v>
      </c>
      <c r="E53" s="172"/>
      <c r="F53" s="55"/>
      <c r="G53" s="157"/>
      <c r="H53" s="81" t="str">
        <f>IF(D53="t","t/t","t/m3")</f>
        <v>t/m3</v>
      </c>
      <c r="J53" s="169" t="s">
        <v>395</v>
      </c>
      <c r="K53" s="92" t="str">
        <f>IFERROR(IF(ISNUMBER(L53),L53,(VLOOKUP(C54,Kalusto!$C$45:$G$84,5,FALSE)*VLOOKUP(C55,Muut!$D$40:$E$43,2,FALSE))),"--")</f>
        <v>--</v>
      </c>
      <c r="L53" s="39"/>
      <c r="M53" s="40" t="s">
        <v>184</v>
      </c>
      <c r="N53" s="40"/>
      <c r="O53" s="250"/>
      <c r="Q53" s="45"/>
      <c r="R53" s="48" t="str">
        <f>IF(AND(NOT(ISNUMBER(AB53)),NOT(ISNUMBER(AG53))),"",IF(ISNUMBER(AB53),AB53,0)+IF(ISNUMBER(AG53),AG53,0))</f>
        <v/>
      </c>
      <c r="S53" s="98" t="s">
        <v>160</v>
      </c>
      <c r="T53" s="46" t="str">
        <f>IFERROR(IF(ISNUMBER(L53),"Kohdetieto",VLOOKUP(C54,Kalusto!$C$45:$L$84,7,FALSE)),"--")</f>
        <v>--</v>
      </c>
      <c r="U53" s="46" t="str">
        <f>IFERROR(IF(ISNUMBER(L53),"Kohdetieto",VLOOKUP(C54,Kalusto!$C$45:$L$84,8,FALSE)),"--")</f>
        <v>--</v>
      </c>
      <c r="V53" s="47" t="str">
        <f>IFERROR(IF(ISNUMBER(L53),"Kohdetieto",VLOOKUP(C54,Kalusto!$C$45:$L$84,9,FALSE)),"--")</f>
        <v>--</v>
      </c>
      <c r="W53" s="47" t="str">
        <f>IFERROR(IF(ISNUMBER(L53),"Kohdetieto",VLOOKUP(C54,Kalusto!$C$45:$L$84,10,FALSE)),"--")</f>
        <v>--</v>
      </c>
      <c r="X53" s="48" t="str">
        <f>IF(ISBLANK(C53),"",IF(D53="t",C53,C53*G53))</f>
        <v/>
      </c>
      <c r="Y53" s="46" t="str">
        <f>IF(ISNUMBER(C56),C56,"")</f>
        <v/>
      </c>
      <c r="Z53" s="48" t="str">
        <f>IF(ISNUMBER(X53/(U53*V53)*Y53),X53/(U53*V53)*Y53,"")</f>
        <v/>
      </c>
      <c r="AA53" s="49" t="str">
        <f>IF(ISNUMBER(L53),L53,K53)</f>
        <v>--</v>
      </c>
      <c r="AB53" s="48" t="str">
        <f>IF(ISNUMBER(Y53*X53*K53),Y53*X53*K53,"")</f>
        <v/>
      </c>
      <c r="AC53" s="48" t="str">
        <f>IF(C73="Kyllä",Y53,"")</f>
        <v/>
      </c>
      <c r="AD53" s="48" t="str">
        <f>IF(C73="Kyllä",IF(ISNUMBER(X53/(U53*V53)),X53/(U53*V53),""),"")</f>
        <v/>
      </c>
      <c r="AE53" s="48" t="str">
        <f>IF(ISNUMBER(AD53*AC53),AD53*AC53,"")</f>
        <v/>
      </c>
      <c r="AF53" s="49" t="str">
        <f>IF(ISNUMBER(L54),L54,K54)</f>
        <v>--</v>
      </c>
      <c r="AG53" s="48" t="str">
        <f>IF(ISNUMBER(AC53*AD53*K54),AC53*AD53*K54,"")</f>
        <v/>
      </c>
      <c r="AH53" s="104"/>
      <c r="AI53" s="35"/>
      <c r="AJ53" s="35"/>
      <c r="AK53" s="36"/>
      <c r="AL53" s="36"/>
      <c r="AM53" s="36"/>
      <c r="AN53" s="36"/>
      <c r="AO53" s="36"/>
      <c r="AP53" s="36"/>
      <c r="AQ53" s="36"/>
      <c r="AR53" s="36"/>
      <c r="AS53" s="36"/>
      <c r="AT53" s="36"/>
      <c r="AU53" s="36"/>
      <c r="AV53" s="36"/>
      <c r="AW53" s="36"/>
      <c r="AX53" s="36"/>
      <c r="AY53" s="36"/>
      <c r="AZ53" s="36"/>
      <c r="BA53" s="36"/>
      <c r="BB53" s="36"/>
    </row>
    <row r="54" spans="2:54" s="30" customFormat="1" ht="45" x14ac:dyDescent="0.2">
      <c r="B54" s="166" t="s">
        <v>463</v>
      </c>
      <c r="C54" s="471" t="s">
        <v>298</v>
      </c>
      <c r="D54" s="472"/>
      <c r="E54" s="472"/>
      <c r="F54" s="472"/>
      <c r="G54" s="473"/>
      <c r="H54" s="81"/>
      <c r="J54" s="32" t="s">
        <v>396</v>
      </c>
      <c r="K54" s="92" t="str">
        <f>IFERROR(IF(ISNUMBER(L54),L54,IF($C$73="Ei","",(VLOOKUP(C54,Kalusto!$C$45:$V$84,19,FALSE)*(VLOOKUP(C55,Muut!$D$40:$E$43,2,FALSE))))),"--")</f>
        <v>--</v>
      </c>
      <c r="L54" s="39"/>
      <c r="M54" s="40" t="s">
        <v>188</v>
      </c>
      <c r="N54" s="40"/>
      <c r="O54" s="250"/>
      <c r="P54" s="33"/>
      <c r="Q54" s="50"/>
      <c r="R54" s="35"/>
      <c r="S54" s="35"/>
      <c r="T54" s="35"/>
      <c r="U54" s="35"/>
      <c r="V54" s="35"/>
      <c r="W54" s="35"/>
      <c r="X54" s="35"/>
      <c r="Y54" s="35"/>
      <c r="Z54" s="35"/>
      <c r="AA54" s="35"/>
      <c r="AB54" s="35"/>
      <c r="AC54" s="35"/>
      <c r="AD54" s="35"/>
      <c r="AE54" s="35"/>
      <c r="AF54" s="35"/>
      <c r="AG54" s="35"/>
      <c r="AH54" s="104"/>
      <c r="AI54" s="35"/>
      <c r="AJ54" s="35"/>
      <c r="AK54" s="36"/>
      <c r="AL54" s="36"/>
      <c r="AM54" s="36"/>
      <c r="AN54" s="36"/>
      <c r="AO54" s="36"/>
      <c r="AP54" s="36"/>
      <c r="AQ54" s="36"/>
      <c r="AR54" s="36"/>
      <c r="AS54" s="36"/>
      <c r="AT54" s="36"/>
      <c r="AU54" s="36"/>
      <c r="AV54" s="36"/>
      <c r="AW54" s="36"/>
      <c r="AX54" s="36"/>
      <c r="AY54" s="36"/>
      <c r="AZ54" s="36"/>
      <c r="BA54" s="36"/>
      <c r="BB54" s="36"/>
    </row>
    <row r="55" spans="2:54" s="30" customFormat="1" ht="15" x14ac:dyDescent="0.2">
      <c r="B55" s="182" t="s">
        <v>457</v>
      </c>
      <c r="C55" s="156" t="s">
        <v>309</v>
      </c>
      <c r="D55" s="33"/>
      <c r="E55" s="33"/>
      <c r="F55" s="33"/>
      <c r="G55" s="33"/>
      <c r="H55" s="57"/>
      <c r="J55" s="169"/>
      <c r="K55" s="169"/>
      <c r="L55" s="169"/>
      <c r="M55" s="40"/>
      <c r="N55" s="40"/>
      <c r="O55" s="250"/>
      <c r="Q55" s="45"/>
      <c r="R55" s="98"/>
      <c r="S55" s="98"/>
      <c r="T55" s="35"/>
      <c r="U55" s="35"/>
      <c r="V55" s="177"/>
      <c r="W55" s="177"/>
      <c r="X55" s="59"/>
      <c r="Y55" s="35"/>
      <c r="Z55" s="59"/>
      <c r="AA55" s="178"/>
      <c r="AB55" s="59"/>
      <c r="AC55" s="59"/>
      <c r="AD55" s="59"/>
      <c r="AE55" s="59"/>
      <c r="AF55" s="178"/>
      <c r="AG55" s="59"/>
      <c r="AH55" s="104"/>
      <c r="AI55" s="35"/>
      <c r="AJ55" s="35"/>
      <c r="AK55" s="36"/>
      <c r="AL55" s="36"/>
      <c r="AM55" s="36"/>
      <c r="AN55" s="36"/>
      <c r="AO55" s="36"/>
      <c r="AP55" s="36"/>
      <c r="AQ55" s="36"/>
      <c r="AR55" s="36"/>
      <c r="AS55" s="36"/>
      <c r="AT55" s="36"/>
      <c r="AU55" s="36"/>
      <c r="AV55" s="36"/>
      <c r="AW55" s="36"/>
      <c r="AX55" s="36"/>
      <c r="AY55" s="36"/>
      <c r="AZ55" s="36"/>
      <c r="BA55" s="36"/>
      <c r="BB55" s="36"/>
    </row>
    <row r="56" spans="2:54" s="30" customFormat="1" ht="15" x14ac:dyDescent="0.2">
      <c r="B56" s="44" t="s">
        <v>465</v>
      </c>
      <c r="C56" s="386"/>
      <c r="D56" s="81" t="s">
        <v>5</v>
      </c>
      <c r="G56" s="33"/>
      <c r="H56" s="81"/>
      <c r="J56" s="51"/>
      <c r="K56" s="33"/>
      <c r="L56" s="33"/>
      <c r="M56" s="81"/>
      <c r="N56" s="81"/>
      <c r="O56" s="250"/>
      <c r="P56" s="51"/>
      <c r="Q56" s="50"/>
      <c r="R56" s="35"/>
      <c r="S56" s="35"/>
      <c r="T56" s="35"/>
      <c r="U56" s="35"/>
      <c r="V56" s="35"/>
      <c r="W56" s="35"/>
      <c r="X56" s="35"/>
      <c r="Y56" s="35"/>
      <c r="Z56" s="35"/>
      <c r="AA56" s="35"/>
      <c r="AB56" s="35"/>
      <c r="AC56" s="35"/>
      <c r="AD56" s="35"/>
      <c r="AE56" s="35"/>
      <c r="AF56" s="35"/>
      <c r="AG56" s="35"/>
      <c r="AH56" s="104"/>
      <c r="AI56" s="35"/>
      <c r="AJ56" s="35"/>
      <c r="AK56" s="36"/>
      <c r="AL56" s="36"/>
      <c r="AM56" s="36"/>
      <c r="AN56" s="36"/>
      <c r="AO56" s="36"/>
      <c r="AP56" s="36"/>
      <c r="AQ56" s="36"/>
      <c r="AR56" s="36"/>
      <c r="AS56" s="36"/>
      <c r="AT56" s="36"/>
      <c r="AU56" s="36"/>
      <c r="AV56" s="36"/>
      <c r="AW56" s="36"/>
      <c r="AX56" s="36"/>
      <c r="AY56" s="36"/>
      <c r="AZ56" s="36"/>
      <c r="BA56" s="36"/>
      <c r="BB56" s="36"/>
    </row>
    <row r="57" spans="2:54" s="30" customFormat="1" ht="15" x14ac:dyDescent="0.2">
      <c r="B57" s="151" t="s">
        <v>413</v>
      </c>
      <c r="C57" s="33"/>
      <c r="D57" s="81"/>
      <c r="G57" s="33"/>
      <c r="H57" s="81"/>
      <c r="J57" s="32"/>
      <c r="K57" s="37" t="s">
        <v>297</v>
      </c>
      <c r="L57" s="37" t="s">
        <v>185</v>
      </c>
      <c r="M57" s="81"/>
      <c r="N57" s="81"/>
      <c r="O57" s="250"/>
      <c r="P57" s="33"/>
      <c r="Q57" s="34"/>
      <c r="R57" s="59" t="s">
        <v>318</v>
      </c>
      <c r="S57" s="35"/>
      <c r="T57" s="35" t="s">
        <v>400</v>
      </c>
      <c r="U57" s="35" t="s">
        <v>399</v>
      </c>
      <c r="V57" s="35" t="s">
        <v>397</v>
      </c>
      <c r="W57" s="35" t="s">
        <v>398</v>
      </c>
      <c r="X57" s="35" t="s">
        <v>401</v>
      </c>
      <c r="Y57" s="35" t="s">
        <v>403</v>
      </c>
      <c r="Z57" s="35" t="s">
        <v>402</v>
      </c>
      <c r="AA57" s="35" t="s">
        <v>186</v>
      </c>
      <c r="AB57" s="35" t="s">
        <v>345</v>
      </c>
      <c r="AC57" s="35" t="s">
        <v>404</v>
      </c>
      <c r="AD57" s="35" t="s">
        <v>346</v>
      </c>
      <c r="AE57" s="35" t="s">
        <v>405</v>
      </c>
      <c r="AF57" s="35" t="s">
        <v>406</v>
      </c>
      <c r="AG57" s="35" t="s">
        <v>578</v>
      </c>
      <c r="AH57" s="104"/>
      <c r="AI57" s="35"/>
      <c r="AJ57" s="35"/>
      <c r="AK57" s="36"/>
      <c r="AL57" s="36"/>
      <c r="AM57" s="36"/>
      <c r="AN57" s="36"/>
      <c r="AO57" s="36"/>
      <c r="AP57" s="36"/>
      <c r="AQ57" s="36"/>
      <c r="AR57" s="36"/>
      <c r="AS57" s="36"/>
      <c r="AT57" s="36"/>
      <c r="AU57" s="36"/>
      <c r="AV57" s="36"/>
      <c r="AW57" s="36"/>
      <c r="AX57" s="36"/>
      <c r="AY57" s="36"/>
      <c r="AZ57" s="36"/>
      <c r="BA57" s="36"/>
      <c r="BB57" s="36"/>
    </row>
    <row r="58" spans="2:54" s="30" customFormat="1" ht="30" x14ac:dyDescent="0.2">
      <c r="B58" s="166" t="s">
        <v>464</v>
      </c>
      <c r="C58" s="385"/>
      <c r="D58" s="86" t="s">
        <v>163</v>
      </c>
      <c r="E58" s="172"/>
      <c r="F58" s="55"/>
      <c r="G58" s="157"/>
      <c r="H58" s="81" t="str">
        <f>IF(D58="t","t/t","t/m3")</f>
        <v>t/m3</v>
      </c>
      <c r="J58" s="169" t="s">
        <v>395</v>
      </c>
      <c r="K58" s="92" t="str">
        <f>IFERROR(IF(ISNUMBER(L58),L58,(VLOOKUP(C59,Kalusto!$C$45:$G$84,5,FALSE)*VLOOKUP(C60,Muut!$D$40:$E$43,2,FALSE))),"--")</f>
        <v>--</v>
      </c>
      <c r="L58" s="39"/>
      <c r="M58" s="40" t="s">
        <v>184</v>
      </c>
      <c r="N58" s="40"/>
      <c r="O58" s="250"/>
      <c r="Q58" s="45"/>
      <c r="R58" s="48" t="str">
        <f>IF(AND(NOT(ISNUMBER(AB58)),NOT(ISNUMBER(AG58))),"",IF(ISNUMBER(AB58),AB58,0)+IF(ISNUMBER(AG58),AG58,0))</f>
        <v/>
      </c>
      <c r="S58" s="98" t="s">
        <v>160</v>
      </c>
      <c r="T58" s="46" t="str">
        <f>IFERROR(IF(ISNUMBER(L58),"Kohdetieto",VLOOKUP(C59,Kalusto!$C$45:$L$84,7,FALSE)),"--")</f>
        <v>--</v>
      </c>
      <c r="U58" s="46" t="str">
        <f>IFERROR(IF(ISNUMBER(L58),"Kohdetieto",VLOOKUP(C59,Kalusto!$C$45:$L$84,8,FALSE)),"--")</f>
        <v>--</v>
      </c>
      <c r="V58" s="47" t="str">
        <f>IFERROR(IF(ISNUMBER(L58),"Kohdetieto",VLOOKUP(C59,Kalusto!$C$45:$L$84,9,FALSE)),"--")</f>
        <v>--</v>
      </c>
      <c r="W58" s="47" t="str">
        <f>IFERROR(IF(ISNUMBER(L58),"Kohdetieto",VLOOKUP(C59,Kalusto!$C$45:$L$84,10,FALSE)),"--")</f>
        <v>--</v>
      </c>
      <c r="X58" s="48" t="str">
        <f>IF(ISBLANK(C58),"",IF(D58="t",C58,C58*G58))</f>
        <v/>
      </c>
      <c r="Y58" s="46" t="str">
        <f>IF(ISNUMBER(C61),C61,"")</f>
        <v/>
      </c>
      <c r="Z58" s="48" t="str">
        <f>IF(ISNUMBER(X58/(U58*V58)*Y58),X58/(U58*V58)*Y58,"")</f>
        <v/>
      </c>
      <c r="AA58" s="49" t="str">
        <f>IF(ISNUMBER(L58),L58,K58)</f>
        <v>--</v>
      </c>
      <c r="AB58" s="48" t="str">
        <f>IF(ISNUMBER(Y58*X58*K58),Y58*X58*K58,"")</f>
        <v/>
      </c>
      <c r="AC58" s="48" t="str">
        <f>IF(C73="Kyllä",Y58,"")</f>
        <v/>
      </c>
      <c r="AD58" s="48" t="str">
        <f>IF(C73="Kyllä",IF(ISNUMBER(X58/(U58*V58)),X58/(U58*V58),""),"")</f>
        <v/>
      </c>
      <c r="AE58" s="48" t="str">
        <f>IF(ISNUMBER(AD58*AC58),AD58*AC58,"")</f>
        <v/>
      </c>
      <c r="AF58" s="49" t="str">
        <f>IF(ISNUMBER(L59),L59,K59)</f>
        <v>--</v>
      </c>
      <c r="AG58" s="48" t="str">
        <f>IF(ISNUMBER(AC58*AD58*K59),AC58*AD58*K59,"")</f>
        <v/>
      </c>
      <c r="AH58" s="104"/>
      <c r="AI58" s="35"/>
      <c r="AJ58" s="35"/>
      <c r="AK58" s="36"/>
      <c r="AL58" s="36"/>
      <c r="AM58" s="36"/>
      <c r="AN58" s="36"/>
      <c r="AO58" s="36"/>
      <c r="AP58" s="36"/>
      <c r="AQ58" s="36"/>
      <c r="AR58" s="36"/>
      <c r="AS58" s="36"/>
      <c r="AT58" s="36"/>
      <c r="AU58" s="36"/>
      <c r="AV58" s="36"/>
      <c r="AW58" s="36"/>
      <c r="AX58" s="36"/>
      <c r="AY58" s="36"/>
      <c r="AZ58" s="36"/>
      <c r="BA58" s="36"/>
      <c r="BB58" s="36"/>
    </row>
    <row r="59" spans="2:54" s="30" customFormat="1" ht="45" x14ac:dyDescent="0.2">
      <c r="B59" s="166" t="s">
        <v>463</v>
      </c>
      <c r="C59" s="471" t="s">
        <v>298</v>
      </c>
      <c r="D59" s="472"/>
      <c r="E59" s="472"/>
      <c r="F59" s="472"/>
      <c r="G59" s="473"/>
      <c r="H59" s="81"/>
      <c r="J59" s="32" t="s">
        <v>396</v>
      </c>
      <c r="K59" s="92" t="str">
        <f>IFERROR(IF(ISNUMBER(L59),L59,IF($C$73="Ei","",(VLOOKUP(C59,Kalusto!$C$45:$V$84,19,FALSE)*(VLOOKUP(C60,Muut!$D$40:$E$43,2,FALSE))))),"--")</f>
        <v>--</v>
      </c>
      <c r="L59" s="39"/>
      <c r="M59" s="40" t="s">
        <v>188</v>
      </c>
      <c r="N59" s="40"/>
      <c r="O59" s="250"/>
      <c r="P59" s="33"/>
      <c r="Q59" s="50"/>
      <c r="R59" s="35"/>
      <c r="S59" s="35"/>
      <c r="T59" s="35"/>
      <c r="U59" s="35"/>
      <c r="V59" s="35"/>
      <c r="W59" s="35"/>
      <c r="X59" s="35"/>
      <c r="Y59" s="35"/>
      <c r="Z59" s="35"/>
      <c r="AA59" s="35"/>
      <c r="AB59" s="35"/>
      <c r="AC59" s="35"/>
      <c r="AD59" s="35"/>
      <c r="AE59" s="35"/>
      <c r="AF59" s="35"/>
      <c r="AG59" s="35"/>
      <c r="AH59" s="104"/>
      <c r="AI59" s="35"/>
      <c r="AJ59" s="35"/>
      <c r="AK59" s="36"/>
      <c r="AL59" s="36"/>
      <c r="AM59" s="36"/>
      <c r="AN59" s="36"/>
      <c r="AO59" s="36"/>
      <c r="AP59" s="36"/>
      <c r="AQ59" s="36"/>
      <c r="AR59" s="36"/>
      <c r="AS59" s="36"/>
      <c r="AT59" s="36"/>
      <c r="AU59" s="36"/>
      <c r="AV59" s="36"/>
      <c r="AW59" s="36"/>
      <c r="AX59" s="36"/>
      <c r="AY59" s="36"/>
      <c r="AZ59" s="36"/>
      <c r="BA59" s="36"/>
      <c r="BB59" s="36"/>
    </row>
    <row r="60" spans="2:54" s="30" customFormat="1" ht="15" x14ac:dyDescent="0.2">
      <c r="B60" s="182" t="s">
        <v>457</v>
      </c>
      <c r="C60" s="156" t="s">
        <v>309</v>
      </c>
      <c r="D60" s="33"/>
      <c r="E60" s="33"/>
      <c r="F60" s="33"/>
      <c r="G60" s="33"/>
      <c r="H60" s="57"/>
      <c r="J60" s="169"/>
      <c r="K60" s="169"/>
      <c r="L60" s="169"/>
      <c r="M60" s="40"/>
      <c r="N60" s="40"/>
      <c r="O60" s="250"/>
      <c r="Q60" s="45"/>
      <c r="R60" s="98"/>
      <c r="S60" s="98"/>
      <c r="T60" s="35"/>
      <c r="U60" s="35"/>
      <c r="V60" s="177"/>
      <c r="W60" s="177"/>
      <c r="X60" s="59"/>
      <c r="Y60" s="35"/>
      <c r="Z60" s="59"/>
      <c r="AA60" s="178"/>
      <c r="AB60" s="59"/>
      <c r="AC60" s="59"/>
      <c r="AD60" s="59"/>
      <c r="AE60" s="59"/>
      <c r="AF60" s="178"/>
      <c r="AG60" s="59"/>
      <c r="AH60" s="104"/>
      <c r="AI60" s="35"/>
      <c r="AJ60" s="35"/>
      <c r="AK60" s="36"/>
      <c r="AL60" s="36"/>
      <c r="AM60" s="36"/>
      <c r="AN60" s="36"/>
      <c r="AO60" s="36"/>
      <c r="AP60" s="36"/>
      <c r="AQ60" s="36"/>
      <c r="AR60" s="36"/>
      <c r="AS60" s="36"/>
      <c r="AT60" s="36"/>
      <c r="AU60" s="36"/>
      <c r="AV60" s="36"/>
      <c r="AW60" s="36"/>
      <c r="AX60" s="36"/>
      <c r="AY60" s="36"/>
      <c r="AZ60" s="36"/>
      <c r="BA60" s="36"/>
      <c r="BB60" s="36"/>
    </row>
    <row r="61" spans="2:54" s="30" customFormat="1" ht="15" x14ac:dyDescent="0.2">
      <c r="B61" s="44" t="s">
        <v>465</v>
      </c>
      <c r="C61" s="386"/>
      <c r="D61" s="81" t="s">
        <v>5</v>
      </c>
      <c r="G61" s="33"/>
      <c r="H61" s="81"/>
      <c r="J61" s="51"/>
      <c r="K61" s="33"/>
      <c r="L61" s="33"/>
      <c r="M61" s="81"/>
      <c r="N61" s="81"/>
      <c r="O61" s="250"/>
      <c r="P61" s="51"/>
      <c r="Q61" s="50"/>
      <c r="R61" s="35"/>
      <c r="S61" s="35"/>
      <c r="T61" s="35"/>
      <c r="U61" s="35"/>
      <c r="V61" s="35"/>
      <c r="W61" s="35"/>
      <c r="X61" s="35"/>
      <c r="Y61" s="35"/>
      <c r="Z61" s="35"/>
      <c r="AA61" s="35"/>
      <c r="AB61" s="35"/>
      <c r="AC61" s="35"/>
      <c r="AD61" s="35"/>
      <c r="AE61" s="35"/>
      <c r="AF61" s="35"/>
      <c r="AG61" s="35"/>
      <c r="AH61" s="104"/>
      <c r="AI61" s="35"/>
      <c r="AJ61" s="35"/>
      <c r="AK61" s="36"/>
      <c r="AL61" s="36"/>
      <c r="AM61" s="36"/>
      <c r="AN61" s="36"/>
      <c r="AO61" s="36"/>
      <c r="AP61" s="36"/>
      <c r="AQ61" s="36"/>
      <c r="AR61" s="36"/>
      <c r="AS61" s="36"/>
      <c r="AT61" s="36"/>
      <c r="AU61" s="36"/>
      <c r="AV61" s="36"/>
      <c r="AW61" s="36"/>
      <c r="AX61" s="36"/>
      <c r="AY61" s="36"/>
      <c r="AZ61" s="36"/>
      <c r="BA61" s="36"/>
      <c r="BB61" s="36"/>
    </row>
    <row r="62" spans="2:54" s="30" customFormat="1" ht="15" x14ac:dyDescent="0.2">
      <c r="B62" s="151" t="s">
        <v>414</v>
      </c>
      <c r="C62" s="33"/>
      <c r="D62" s="81"/>
      <c r="G62" s="33"/>
      <c r="H62" s="81"/>
      <c r="J62" s="32"/>
      <c r="K62" s="37" t="s">
        <v>297</v>
      </c>
      <c r="L62" s="37" t="s">
        <v>185</v>
      </c>
      <c r="M62" s="81"/>
      <c r="N62" s="81"/>
      <c r="O62" s="250"/>
      <c r="P62" s="33"/>
      <c r="Q62" s="34"/>
      <c r="R62" s="59" t="s">
        <v>318</v>
      </c>
      <c r="S62" s="35"/>
      <c r="T62" s="35" t="s">
        <v>400</v>
      </c>
      <c r="U62" s="35" t="s">
        <v>399</v>
      </c>
      <c r="V62" s="35" t="s">
        <v>397</v>
      </c>
      <c r="W62" s="35" t="s">
        <v>398</v>
      </c>
      <c r="X62" s="35" t="s">
        <v>401</v>
      </c>
      <c r="Y62" s="35" t="s">
        <v>403</v>
      </c>
      <c r="Z62" s="35" t="s">
        <v>402</v>
      </c>
      <c r="AA62" s="35" t="s">
        <v>186</v>
      </c>
      <c r="AB62" s="35" t="s">
        <v>345</v>
      </c>
      <c r="AC62" s="35" t="s">
        <v>404</v>
      </c>
      <c r="AD62" s="35" t="s">
        <v>346</v>
      </c>
      <c r="AE62" s="35" t="s">
        <v>405</v>
      </c>
      <c r="AF62" s="35" t="s">
        <v>406</v>
      </c>
      <c r="AG62" s="35" t="s">
        <v>578</v>
      </c>
      <c r="AH62" s="104"/>
      <c r="AI62" s="35"/>
      <c r="AJ62" s="35"/>
      <c r="AK62" s="36"/>
      <c r="AL62" s="36"/>
      <c r="AM62" s="36"/>
      <c r="AN62" s="36"/>
      <c r="AO62" s="36"/>
      <c r="AP62" s="36"/>
      <c r="AQ62" s="36"/>
      <c r="AR62" s="36"/>
      <c r="AS62" s="36"/>
      <c r="AT62" s="36"/>
      <c r="AU62" s="36"/>
      <c r="AV62" s="36"/>
      <c r="AW62" s="36"/>
      <c r="AX62" s="36"/>
      <c r="AY62" s="36"/>
      <c r="AZ62" s="36"/>
      <c r="BA62" s="36"/>
      <c r="BB62" s="36"/>
    </row>
    <row r="63" spans="2:54" s="30" customFormat="1" ht="30" x14ac:dyDescent="0.2">
      <c r="B63" s="166" t="s">
        <v>464</v>
      </c>
      <c r="C63" s="385"/>
      <c r="D63" s="86" t="s">
        <v>163</v>
      </c>
      <c r="E63" s="33"/>
      <c r="F63" s="55"/>
      <c r="G63" s="157"/>
      <c r="H63" s="81" t="str">
        <f>IF(D63="t","t/t","t/m3")</f>
        <v>t/m3</v>
      </c>
      <c r="J63" s="169" t="s">
        <v>395</v>
      </c>
      <c r="K63" s="92" t="str">
        <f>IFERROR(IF(ISNUMBER(L63),L63,(VLOOKUP(C64,Kalusto!$C$45:$G$84,5,FALSE)*VLOOKUP(C65,Muut!$D$40:$E$43,2,FALSE))),"--")</f>
        <v>--</v>
      </c>
      <c r="L63" s="39"/>
      <c r="M63" s="40" t="s">
        <v>184</v>
      </c>
      <c r="N63" s="40"/>
      <c r="O63" s="250"/>
      <c r="Q63" s="45"/>
      <c r="R63" s="48" t="str">
        <f>IF(AND(NOT(ISNUMBER(AB63)),NOT(ISNUMBER(AG63))),"",IF(ISNUMBER(AB63),AB63,0)+IF(ISNUMBER(AG63),AG63,0))</f>
        <v/>
      </c>
      <c r="S63" s="98" t="s">
        <v>160</v>
      </c>
      <c r="T63" s="46" t="str">
        <f>IFERROR(IF(ISNUMBER(L63),"Kohdetieto",VLOOKUP(C64,Kalusto!$C$45:$L$84,7,FALSE)),"--")</f>
        <v>--</v>
      </c>
      <c r="U63" s="46" t="str">
        <f>IFERROR(IF(ISNUMBER(L63),"Kohdetieto",VLOOKUP(C64,Kalusto!$C$45:$L$84,8,FALSE)),"--")</f>
        <v>--</v>
      </c>
      <c r="V63" s="47" t="str">
        <f>IFERROR(IF(ISNUMBER(L63),"Kohdetieto",VLOOKUP(C64,Kalusto!$C$45:$L$84,9,FALSE)),"--")</f>
        <v>--</v>
      </c>
      <c r="W63" s="47" t="str">
        <f>IFERROR(IF(ISNUMBER(L63),"Kohdetieto",VLOOKUP(C64,Kalusto!$C$45:$L$84,10,FALSE)),"--")</f>
        <v>--</v>
      </c>
      <c r="X63" s="48" t="str">
        <f>IF(ISBLANK(C63),"",IF(D63="t",C63,C63*G63))</f>
        <v/>
      </c>
      <c r="Y63" s="46" t="str">
        <f>IF(ISNUMBER(C66),C66,"")</f>
        <v/>
      </c>
      <c r="Z63" s="48" t="str">
        <f>IF(ISNUMBER(X63/(U63*V63)*Y63),X63/(U63*V63)*Y63,"")</f>
        <v/>
      </c>
      <c r="AA63" s="49" t="str">
        <f>IF(ISNUMBER(L63),L63,K63)</f>
        <v>--</v>
      </c>
      <c r="AB63" s="48" t="str">
        <f>IF(ISNUMBER(Y63*X63*K63),Y63*X63*K63,"")</f>
        <v/>
      </c>
      <c r="AC63" s="48" t="str">
        <f>IF(C73="Kyllä",Y63,"")</f>
        <v/>
      </c>
      <c r="AD63" s="48" t="str">
        <f>IF(C73="Kyllä",IF(ISNUMBER(X63/(U63*V63)),X63/(U63*V63),""),"")</f>
        <v/>
      </c>
      <c r="AE63" s="48" t="str">
        <f>IF(ISNUMBER(AD63*AC63),AD63*AC63,"")</f>
        <v/>
      </c>
      <c r="AF63" s="49" t="str">
        <f>IF(ISNUMBER(L64),L64,K64)</f>
        <v>--</v>
      </c>
      <c r="AG63" s="48" t="str">
        <f>IF(ISNUMBER(AC63*AD63*K64),AC63*AD63*K64,"")</f>
        <v/>
      </c>
      <c r="AH63" s="104"/>
      <c r="AI63" s="35"/>
      <c r="AJ63" s="35"/>
      <c r="AK63" s="36"/>
      <c r="AL63" s="36"/>
      <c r="AM63" s="36"/>
      <c r="AN63" s="36"/>
      <c r="AO63" s="36"/>
      <c r="AP63" s="36"/>
      <c r="AQ63" s="36"/>
      <c r="AR63" s="36"/>
      <c r="AS63" s="36"/>
      <c r="AT63" s="36"/>
      <c r="AU63" s="36"/>
      <c r="AV63" s="36"/>
      <c r="AW63" s="36"/>
      <c r="AX63" s="36"/>
      <c r="AY63" s="36"/>
      <c r="AZ63" s="36"/>
      <c r="BA63" s="36"/>
      <c r="BB63" s="36"/>
    </row>
    <row r="64" spans="2:54" s="30" customFormat="1" ht="45" x14ac:dyDescent="0.2">
      <c r="B64" s="166" t="s">
        <v>463</v>
      </c>
      <c r="C64" s="471" t="s">
        <v>298</v>
      </c>
      <c r="D64" s="472"/>
      <c r="E64" s="472"/>
      <c r="F64" s="472"/>
      <c r="G64" s="473"/>
      <c r="H64" s="81"/>
      <c r="J64" s="32" t="s">
        <v>396</v>
      </c>
      <c r="K64" s="92" t="str">
        <f>IFERROR(IF(ISNUMBER(L64),L64,IF($C$73="Ei","",(VLOOKUP(C64,Kalusto!$C$45:$V$84,19,FALSE)*(VLOOKUP(C65,Muut!$D$40:$E$43,2,FALSE))))),"--")</f>
        <v>--</v>
      </c>
      <c r="L64" s="39"/>
      <c r="M64" s="40" t="s">
        <v>188</v>
      </c>
      <c r="N64" s="40"/>
      <c r="O64" s="250"/>
      <c r="P64" s="33"/>
      <c r="Q64" s="50"/>
      <c r="R64" s="35"/>
      <c r="S64" s="35"/>
      <c r="T64" s="35"/>
      <c r="U64" s="35"/>
      <c r="V64" s="35"/>
      <c r="W64" s="35"/>
      <c r="X64" s="35"/>
      <c r="Y64" s="35"/>
      <c r="Z64" s="35"/>
      <c r="AA64" s="35"/>
      <c r="AB64" s="35"/>
      <c r="AC64" s="35"/>
      <c r="AD64" s="35"/>
      <c r="AE64" s="35"/>
      <c r="AF64" s="35"/>
      <c r="AG64" s="35"/>
      <c r="AH64" s="104"/>
      <c r="AI64" s="35"/>
      <c r="AJ64" s="35"/>
      <c r="AK64" s="36"/>
      <c r="AL64" s="36"/>
      <c r="AM64" s="36"/>
      <c r="AN64" s="36"/>
      <c r="AO64" s="36"/>
      <c r="AP64" s="36"/>
      <c r="AQ64" s="36"/>
      <c r="AR64" s="36"/>
      <c r="AS64" s="36"/>
      <c r="AT64" s="36"/>
      <c r="AU64" s="36"/>
      <c r="AV64" s="36"/>
      <c r="AW64" s="36"/>
      <c r="AX64" s="36"/>
      <c r="AY64" s="36"/>
      <c r="AZ64" s="36"/>
      <c r="BA64" s="36"/>
      <c r="BB64" s="36"/>
    </row>
    <row r="65" spans="1:56" s="30" customFormat="1" ht="15" x14ac:dyDescent="0.2">
      <c r="B65" s="182" t="s">
        <v>457</v>
      </c>
      <c r="C65" s="156" t="s">
        <v>309</v>
      </c>
      <c r="D65" s="33"/>
      <c r="E65" s="33"/>
      <c r="F65" s="33"/>
      <c r="G65" s="33"/>
      <c r="H65" s="57"/>
      <c r="J65" s="169"/>
      <c r="K65" s="169"/>
      <c r="L65" s="169"/>
      <c r="M65" s="40"/>
      <c r="N65" s="40"/>
      <c r="O65" s="250"/>
      <c r="Q65" s="45"/>
      <c r="R65" s="98"/>
      <c r="S65" s="98"/>
      <c r="T65" s="35"/>
      <c r="U65" s="35"/>
      <c r="V65" s="177"/>
      <c r="W65" s="177"/>
      <c r="X65" s="59"/>
      <c r="Y65" s="35"/>
      <c r="Z65" s="59"/>
      <c r="AA65" s="178"/>
      <c r="AB65" s="59"/>
      <c r="AC65" s="59"/>
      <c r="AD65" s="59"/>
      <c r="AE65" s="59"/>
      <c r="AF65" s="178"/>
      <c r="AG65" s="59"/>
      <c r="AH65" s="104"/>
      <c r="AI65" s="35"/>
      <c r="AJ65" s="35"/>
      <c r="AK65" s="36"/>
      <c r="AL65" s="36"/>
      <c r="AM65" s="36"/>
      <c r="AN65" s="36"/>
      <c r="AO65" s="36"/>
      <c r="AP65" s="36"/>
      <c r="AQ65" s="36"/>
      <c r="AR65" s="36"/>
      <c r="AS65" s="36"/>
      <c r="AT65" s="36"/>
      <c r="AU65" s="36"/>
      <c r="AV65" s="36"/>
      <c r="AW65" s="36"/>
      <c r="AX65" s="36"/>
      <c r="AY65" s="36"/>
      <c r="AZ65" s="36"/>
      <c r="BA65" s="36"/>
      <c r="BB65" s="36"/>
    </row>
    <row r="66" spans="1:56" s="30" customFormat="1" ht="15" x14ac:dyDescent="0.2">
      <c r="B66" s="44" t="s">
        <v>465</v>
      </c>
      <c r="C66" s="386"/>
      <c r="D66" s="87" t="s">
        <v>164</v>
      </c>
      <c r="E66" s="56"/>
      <c r="F66" s="56"/>
      <c r="G66" s="33"/>
      <c r="H66" s="81"/>
      <c r="J66" s="51"/>
      <c r="K66" s="33"/>
      <c r="L66" s="33"/>
      <c r="M66" s="81"/>
      <c r="N66" s="81"/>
      <c r="O66" s="250"/>
      <c r="P66" s="51"/>
      <c r="Q66" s="50"/>
      <c r="R66" s="35"/>
      <c r="S66" s="35"/>
      <c r="T66" s="35"/>
      <c r="U66" s="35"/>
      <c r="V66" s="35"/>
      <c r="W66" s="35"/>
      <c r="X66" s="35"/>
      <c r="Y66" s="35"/>
      <c r="Z66" s="35"/>
      <c r="AA66" s="35"/>
      <c r="AB66" s="35"/>
      <c r="AC66" s="35"/>
      <c r="AD66" s="35"/>
      <c r="AE66" s="35"/>
      <c r="AF66" s="35"/>
      <c r="AG66" s="35"/>
      <c r="AH66" s="104"/>
      <c r="AI66" s="35"/>
      <c r="AJ66" s="35"/>
      <c r="AK66" s="36"/>
      <c r="AL66" s="36"/>
      <c r="AM66" s="36"/>
      <c r="AN66" s="36"/>
      <c r="AO66" s="36"/>
      <c r="AP66" s="36"/>
      <c r="AQ66" s="36"/>
      <c r="AR66" s="36"/>
      <c r="AS66" s="36"/>
      <c r="AT66" s="36"/>
      <c r="AU66" s="36"/>
      <c r="AV66" s="36"/>
      <c r="AW66" s="36"/>
      <c r="AX66" s="36"/>
      <c r="AY66" s="36"/>
      <c r="AZ66" s="36"/>
      <c r="BA66" s="36"/>
      <c r="BB66" s="36"/>
    </row>
    <row r="67" spans="1:56" s="30" customFormat="1" ht="15" x14ac:dyDescent="0.2">
      <c r="B67" s="151" t="s">
        <v>302</v>
      </c>
      <c r="C67" s="33"/>
      <c r="D67" s="81"/>
      <c r="G67" s="33"/>
      <c r="H67" s="81"/>
      <c r="J67" s="32"/>
      <c r="K67" s="37" t="s">
        <v>297</v>
      </c>
      <c r="L67" s="37" t="s">
        <v>185</v>
      </c>
      <c r="M67" s="81"/>
      <c r="N67" s="81"/>
      <c r="O67" s="250"/>
      <c r="P67" s="33"/>
      <c r="Q67" s="34"/>
      <c r="R67" s="59" t="s">
        <v>318</v>
      </c>
      <c r="S67" s="35"/>
      <c r="T67" s="35" t="s">
        <v>400</v>
      </c>
      <c r="U67" s="35" t="s">
        <v>399</v>
      </c>
      <c r="V67" s="35" t="s">
        <v>397</v>
      </c>
      <c r="W67" s="35" t="s">
        <v>398</v>
      </c>
      <c r="X67" s="35" t="s">
        <v>401</v>
      </c>
      <c r="Y67" s="35" t="s">
        <v>403</v>
      </c>
      <c r="Z67" s="35" t="s">
        <v>402</v>
      </c>
      <c r="AA67" s="35" t="s">
        <v>186</v>
      </c>
      <c r="AB67" s="35" t="s">
        <v>345</v>
      </c>
      <c r="AC67" s="35" t="s">
        <v>404</v>
      </c>
      <c r="AD67" s="35" t="s">
        <v>346</v>
      </c>
      <c r="AE67" s="35" t="s">
        <v>405</v>
      </c>
      <c r="AF67" s="35" t="s">
        <v>406</v>
      </c>
      <c r="AG67" s="35" t="s">
        <v>578</v>
      </c>
      <c r="AH67" s="104"/>
      <c r="AI67" s="35"/>
      <c r="AJ67" s="35"/>
      <c r="AK67" s="36"/>
      <c r="AL67" s="36"/>
      <c r="AM67" s="36"/>
      <c r="AN67" s="36"/>
      <c r="AO67" s="36"/>
      <c r="AP67" s="36"/>
      <c r="AQ67" s="36"/>
      <c r="AR67" s="36"/>
      <c r="AS67" s="36"/>
      <c r="AT67" s="36"/>
      <c r="AU67" s="36"/>
      <c r="AV67" s="36"/>
      <c r="AW67" s="36"/>
      <c r="AX67" s="36"/>
      <c r="AY67" s="36"/>
      <c r="AZ67" s="36"/>
      <c r="BA67" s="36"/>
      <c r="BB67" s="36"/>
    </row>
    <row r="68" spans="1:56" s="30" customFormat="1" ht="30" x14ac:dyDescent="0.2">
      <c r="B68" s="166" t="s">
        <v>464</v>
      </c>
      <c r="C68" s="385"/>
      <c r="D68" s="86" t="s">
        <v>163</v>
      </c>
      <c r="E68" s="33"/>
      <c r="F68" s="55"/>
      <c r="G68" s="157"/>
      <c r="H68" s="81" t="str">
        <f>IF(D68="t","t/t","t/m3")</f>
        <v>t/m3</v>
      </c>
      <c r="J68" s="169" t="s">
        <v>395</v>
      </c>
      <c r="K68" s="92" t="str">
        <f>IFERROR(IF(ISNUMBER(L68),L68,(VLOOKUP(C69,Kalusto!$C$45:$G$84,5,FALSE)*VLOOKUP(C70,Muut!$D$40:$E$43,2,FALSE))),"--")</f>
        <v>--</v>
      </c>
      <c r="L68" s="39"/>
      <c r="M68" s="40" t="s">
        <v>184</v>
      </c>
      <c r="N68" s="40"/>
      <c r="O68" s="250"/>
      <c r="Q68" s="45"/>
      <c r="R68" s="48" t="str">
        <f>IF(AND(NOT(ISNUMBER(AB68)),NOT(ISNUMBER(AG68))),"",IF(ISNUMBER(AB68),AB68,0)+IF(ISNUMBER(AG68),AG68,0))</f>
        <v/>
      </c>
      <c r="S68" s="98" t="s">
        <v>160</v>
      </c>
      <c r="T68" s="46" t="str">
        <f>IFERROR(IF(ISNUMBER(L68),"Kohdetieto",VLOOKUP(C69,Kalusto!$C$45:$L$84,7,FALSE)),"--")</f>
        <v>--</v>
      </c>
      <c r="U68" s="46" t="str">
        <f>IFERROR(IF(ISNUMBER(L68),"Kohdetieto",VLOOKUP(C69,Kalusto!$C$45:$L$84,8,FALSE)),"--")</f>
        <v>--</v>
      </c>
      <c r="V68" s="47" t="str">
        <f>IFERROR(IF(ISNUMBER(L68),"Kohdetieto",VLOOKUP(C69,Kalusto!$C$45:$L$84,9,FALSE)),"--")</f>
        <v>--</v>
      </c>
      <c r="W68" s="47" t="str">
        <f>IFERROR(IF(ISNUMBER(L68),"Kohdetieto",VLOOKUP(C69,Kalusto!$C$45:$L$84,10,FALSE)),"--")</f>
        <v>--</v>
      </c>
      <c r="X68" s="48" t="str">
        <f>IF(ISBLANK(C68),"",IF(D68="t",C68,C68*G68))</f>
        <v/>
      </c>
      <c r="Y68" s="46" t="str">
        <f>IF(ISNUMBER(C71),C71,"")</f>
        <v/>
      </c>
      <c r="Z68" s="48" t="str">
        <f>IF(ISNUMBER(X68/(U68*V68)*Y68),X68/(U68*V68)*Y68,"")</f>
        <v/>
      </c>
      <c r="AA68" s="49" t="str">
        <f>IF(ISNUMBER(L68),L68,K68)</f>
        <v>--</v>
      </c>
      <c r="AB68" s="48" t="str">
        <f>IF(ISNUMBER(Y68*X68*K68),Y68*X68*K68,"")</f>
        <v/>
      </c>
      <c r="AC68" s="48" t="str">
        <f>IF(C73="Kyllä",Y68,"")</f>
        <v/>
      </c>
      <c r="AD68" s="48" t="str">
        <f>IF(C73="Kyllä",IF(ISNUMBER(X68/(U68*V68)),X68/(U68*V68),""),"")</f>
        <v/>
      </c>
      <c r="AE68" s="48" t="str">
        <f>IF(ISNUMBER(AD68*AC68),AD68*AC68,"")</f>
        <v/>
      </c>
      <c r="AF68" s="49" t="str">
        <f>IF(ISNUMBER(L69),L69,K69)</f>
        <v>--</v>
      </c>
      <c r="AG68" s="48" t="str">
        <f>IF(ISNUMBER(AC68*AD68*K69),AC68*AD68*K69,"")</f>
        <v/>
      </c>
      <c r="AH68" s="104"/>
      <c r="AI68" s="35"/>
      <c r="AJ68" s="35"/>
      <c r="AK68" s="36"/>
      <c r="AL68" s="36"/>
      <c r="AM68" s="36"/>
      <c r="AN68" s="36"/>
      <c r="AO68" s="36"/>
      <c r="AP68" s="36"/>
      <c r="AQ68" s="36"/>
      <c r="AR68" s="36"/>
      <c r="AS68" s="36"/>
      <c r="AT68" s="36"/>
      <c r="AU68" s="36"/>
      <c r="AV68" s="36"/>
      <c r="AW68" s="36"/>
      <c r="AX68" s="36"/>
      <c r="AY68" s="36"/>
      <c r="AZ68" s="36"/>
      <c r="BA68" s="36"/>
      <c r="BB68" s="36"/>
    </row>
    <row r="69" spans="1:56" s="30" customFormat="1" ht="45" x14ac:dyDescent="0.2">
      <c r="B69" s="166" t="s">
        <v>463</v>
      </c>
      <c r="C69" s="471" t="s">
        <v>298</v>
      </c>
      <c r="D69" s="472"/>
      <c r="E69" s="472"/>
      <c r="F69" s="472"/>
      <c r="G69" s="473"/>
      <c r="H69" s="81"/>
      <c r="J69" s="32" t="s">
        <v>396</v>
      </c>
      <c r="K69" s="92" t="str">
        <f>IFERROR(IF(ISNUMBER(L69),L69,IF($C$73="Ei","",(VLOOKUP(C69,Kalusto!$C$45:$V$84,19,FALSE)*(VLOOKUP(C70,Muut!$D$40:$E$43,2,FALSE))))),"--")</f>
        <v>--</v>
      </c>
      <c r="L69" s="39"/>
      <c r="M69" s="40" t="s">
        <v>188</v>
      </c>
      <c r="N69" s="40"/>
      <c r="O69" s="250"/>
      <c r="P69" s="33"/>
      <c r="Q69" s="50"/>
      <c r="R69" s="95"/>
      <c r="S69" s="35"/>
      <c r="T69" s="35"/>
      <c r="U69" s="35"/>
      <c r="V69" s="35"/>
      <c r="W69" s="35"/>
      <c r="X69" s="35"/>
      <c r="Y69" s="35"/>
      <c r="Z69" s="35"/>
      <c r="AA69" s="35"/>
      <c r="AB69" s="35"/>
      <c r="AC69" s="35"/>
      <c r="AD69" s="35"/>
      <c r="AE69" s="35"/>
      <c r="AF69" s="35"/>
      <c r="AG69" s="35"/>
      <c r="AH69" s="35"/>
      <c r="AI69" s="35"/>
      <c r="AJ69" s="35"/>
      <c r="AK69" s="36"/>
      <c r="AL69" s="36"/>
      <c r="AM69" s="36"/>
      <c r="AN69" s="36"/>
      <c r="AO69" s="36"/>
      <c r="AP69" s="36"/>
      <c r="AQ69" s="36"/>
      <c r="AR69" s="36"/>
      <c r="AS69" s="36"/>
      <c r="AT69" s="36"/>
      <c r="AU69" s="36"/>
      <c r="AV69" s="36"/>
      <c r="AW69" s="36"/>
      <c r="AX69" s="36"/>
      <c r="AY69" s="36"/>
      <c r="AZ69" s="36"/>
      <c r="BA69" s="36"/>
      <c r="BB69" s="36"/>
    </row>
    <row r="70" spans="1:56" s="30" customFormat="1" ht="15" x14ac:dyDescent="0.2">
      <c r="B70" s="182" t="s">
        <v>457</v>
      </c>
      <c r="C70" s="156" t="s">
        <v>309</v>
      </c>
      <c r="D70" s="33"/>
      <c r="E70" s="33"/>
      <c r="F70" s="33"/>
      <c r="G70" s="33"/>
      <c r="H70" s="57"/>
      <c r="J70" s="169"/>
      <c r="K70" s="169"/>
      <c r="L70" s="169"/>
      <c r="M70" s="40"/>
      <c r="N70" s="40"/>
      <c r="O70" s="250"/>
      <c r="Q70" s="45"/>
      <c r="R70" s="98"/>
      <c r="S70" s="98"/>
      <c r="T70" s="35"/>
      <c r="U70" s="35"/>
      <c r="V70" s="177"/>
      <c r="W70" s="177"/>
      <c r="X70" s="59"/>
      <c r="Y70" s="35"/>
      <c r="Z70" s="59"/>
      <c r="AA70" s="178"/>
      <c r="AB70" s="59"/>
      <c r="AC70" s="59"/>
      <c r="AD70" s="59"/>
      <c r="AE70" s="59"/>
      <c r="AF70" s="178"/>
      <c r="AG70" s="59"/>
      <c r="AH70" s="104"/>
      <c r="AI70" s="35"/>
      <c r="AJ70" s="35"/>
      <c r="AK70" s="36"/>
      <c r="AL70" s="36"/>
      <c r="AM70" s="36"/>
      <c r="AN70" s="36"/>
      <c r="AO70" s="36"/>
      <c r="AP70" s="36"/>
      <c r="AQ70" s="36"/>
      <c r="AR70" s="36"/>
      <c r="AS70" s="36"/>
      <c r="AT70" s="36"/>
      <c r="AU70" s="36"/>
      <c r="AV70" s="36"/>
      <c r="AW70" s="36"/>
      <c r="AX70" s="36"/>
      <c r="AY70" s="36"/>
      <c r="AZ70" s="36"/>
      <c r="BA70" s="36"/>
      <c r="BB70" s="36"/>
    </row>
    <row r="71" spans="1:56" s="30" customFormat="1" ht="15" x14ac:dyDescent="0.2">
      <c r="B71" s="44" t="s">
        <v>465</v>
      </c>
      <c r="C71" s="386"/>
      <c r="D71" s="81" t="s">
        <v>5</v>
      </c>
      <c r="G71" s="33"/>
      <c r="H71" s="81"/>
      <c r="J71" s="51"/>
      <c r="K71" s="33"/>
      <c r="L71" s="33"/>
      <c r="M71" s="81"/>
      <c r="N71" s="81"/>
      <c r="O71" s="250"/>
      <c r="P71" s="51"/>
      <c r="Q71" s="50"/>
      <c r="R71" s="95"/>
      <c r="S71" s="35"/>
      <c r="T71" s="35"/>
      <c r="U71" s="35"/>
      <c r="V71" s="35"/>
      <c r="W71" s="35"/>
      <c r="X71" s="35"/>
      <c r="Y71" s="35"/>
      <c r="Z71" s="35"/>
      <c r="AA71" s="35"/>
      <c r="AB71" s="35"/>
      <c r="AC71" s="35"/>
      <c r="AD71" s="35"/>
      <c r="AE71" s="35"/>
      <c r="AF71" s="35"/>
      <c r="AG71" s="35"/>
      <c r="AH71" s="35"/>
      <c r="AI71" s="35"/>
      <c r="AJ71" s="35"/>
      <c r="AK71" s="36"/>
      <c r="AL71" s="36"/>
      <c r="AM71" s="36"/>
      <c r="AN71" s="36"/>
      <c r="AO71" s="36"/>
      <c r="AP71" s="36"/>
      <c r="AQ71" s="36"/>
      <c r="AR71" s="36"/>
      <c r="AS71" s="36"/>
      <c r="AT71" s="36"/>
      <c r="AU71" s="36"/>
      <c r="AV71" s="36"/>
      <c r="AW71" s="36"/>
      <c r="AX71" s="36"/>
      <c r="AY71" s="36"/>
      <c r="AZ71" s="36"/>
      <c r="BA71" s="36"/>
      <c r="BB71" s="36"/>
    </row>
    <row r="72" spans="1:56" s="30" customFormat="1" ht="15" x14ac:dyDescent="0.2">
      <c r="C72" s="33"/>
      <c r="D72" s="81"/>
      <c r="G72" s="33"/>
      <c r="H72" s="81"/>
      <c r="J72" s="32"/>
      <c r="K72" s="33"/>
      <c r="L72" s="33"/>
      <c r="M72" s="81"/>
      <c r="N72" s="81"/>
      <c r="O72" s="250"/>
      <c r="Q72" s="34"/>
      <c r="R72" s="95"/>
      <c r="S72" s="35"/>
      <c r="T72" s="35"/>
      <c r="U72" s="35"/>
      <c r="V72" s="35"/>
      <c r="W72" s="35"/>
      <c r="X72" s="35"/>
      <c r="Y72" s="35"/>
      <c r="Z72" s="35"/>
      <c r="AA72" s="35"/>
      <c r="AB72" s="35"/>
      <c r="AC72" s="35"/>
      <c r="AD72" s="35"/>
      <c r="AE72" s="35"/>
      <c r="AF72" s="35"/>
      <c r="AG72" s="35"/>
      <c r="AH72" s="35"/>
      <c r="AI72" s="35"/>
      <c r="AJ72" s="35"/>
      <c r="AK72" s="36"/>
      <c r="AL72" s="36"/>
      <c r="AM72" s="36"/>
      <c r="AN72" s="36"/>
      <c r="AO72" s="36"/>
      <c r="AP72" s="36"/>
      <c r="AQ72" s="36"/>
      <c r="AR72" s="36"/>
      <c r="AS72" s="36"/>
      <c r="AT72" s="36"/>
      <c r="AU72" s="36"/>
      <c r="AV72" s="36"/>
      <c r="AW72" s="36"/>
      <c r="AX72" s="36"/>
      <c r="AY72" s="36"/>
      <c r="AZ72" s="36"/>
      <c r="BA72" s="36"/>
      <c r="BB72" s="36"/>
    </row>
    <row r="73" spans="1:56" s="30" customFormat="1" ht="45" x14ac:dyDescent="0.2">
      <c r="B73" s="76" t="s">
        <v>606</v>
      </c>
      <c r="C73" s="471" t="s">
        <v>6</v>
      </c>
      <c r="D73" s="473"/>
      <c r="E73" s="33"/>
      <c r="F73" s="56"/>
      <c r="G73" s="33"/>
      <c r="H73" s="81"/>
      <c r="J73" s="32"/>
      <c r="K73" s="33"/>
      <c r="L73" s="33"/>
      <c r="M73" s="81"/>
      <c r="N73" s="81"/>
      <c r="O73" s="250"/>
      <c r="Q73" s="34"/>
      <c r="R73" s="95"/>
      <c r="S73" s="35"/>
      <c r="T73" s="35"/>
      <c r="U73" s="35"/>
      <c r="V73" s="35"/>
      <c r="W73" s="35"/>
      <c r="X73" s="35"/>
      <c r="Y73" s="35"/>
      <c r="Z73" s="35"/>
      <c r="AA73" s="35"/>
      <c r="AB73" s="35"/>
      <c r="AC73" s="35"/>
      <c r="AD73" s="35"/>
      <c r="AE73" s="35"/>
      <c r="AF73" s="35"/>
      <c r="AG73" s="35"/>
      <c r="AH73" s="35"/>
      <c r="AI73" s="35"/>
      <c r="AJ73" s="35"/>
      <c r="AK73" s="36"/>
      <c r="AL73" s="36"/>
      <c r="AM73" s="36"/>
      <c r="AN73" s="36"/>
      <c r="AO73" s="36"/>
      <c r="AP73" s="36"/>
      <c r="AQ73" s="36"/>
      <c r="AR73" s="36"/>
      <c r="AS73" s="36"/>
      <c r="AT73" s="36"/>
      <c r="AU73" s="36"/>
      <c r="AV73" s="36"/>
      <c r="AW73" s="36"/>
      <c r="AX73" s="36"/>
      <c r="AY73" s="36"/>
      <c r="AZ73" s="36"/>
      <c r="BA73" s="36"/>
      <c r="BB73" s="36"/>
    </row>
    <row r="74" spans="1:56" s="30" customFormat="1" ht="15" x14ac:dyDescent="0.2">
      <c r="C74" s="33"/>
      <c r="D74" s="81"/>
      <c r="G74" s="33"/>
      <c r="H74" s="81"/>
      <c r="J74" s="32"/>
      <c r="K74" s="33"/>
      <c r="L74" s="33"/>
      <c r="M74" s="81"/>
      <c r="N74" s="81"/>
      <c r="O74" s="249"/>
      <c r="Q74" s="34"/>
      <c r="R74" s="95"/>
      <c r="S74" s="35"/>
      <c r="T74" s="35"/>
      <c r="U74" s="35"/>
      <c r="V74" s="35"/>
      <c r="W74" s="35"/>
      <c r="X74" s="35"/>
      <c r="Y74" s="35"/>
      <c r="Z74" s="35"/>
      <c r="AA74" s="35"/>
      <c r="AB74" s="35"/>
      <c r="AC74" s="35"/>
      <c r="AD74" s="35"/>
      <c r="AE74" s="35"/>
      <c r="AF74" s="35"/>
      <c r="AG74" s="35"/>
      <c r="AH74" s="35"/>
      <c r="AI74" s="35"/>
      <c r="AJ74" s="35"/>
      <c r="AK74" s="36"/>
      <c r="AL74" s="36"/>
      <c r="AM74" s="36"/>
      <c r="AN74" s="36"/>
      <c r="AO74" s="36"/>
      <c r="AP74" s="36"/>
      <c r="AQ74" s="36"/>
      <c r="AR74" s="36"/>
      <c r="AS74" s="36"/>
      <c r="AT74" s="36"/>
      <c r="AU74" s="36"/>
      <c r="AV74" s="36"/>
      <c r="AW74" s="36"/>
      <c r="AX74" s="36"/>
      <c r="AY74" s="36"/>
      <c r="AZ74" s="36"/>
      <c r="BA74" s="36"/>
      <c r="BB74" s="36"/>
    </row>
    <row r="75" spans="1:56" ht="18" x14ac:dyDescent="0.2">
      <c r="A75" s="298"/>
      <c r="B75" s="286" t="s">
        <v>631</v>
      </c>
      <c r="C75" s="296"/>
      <c r="D75" s="297"/>
      <c r="E75" s="298"/>
      <c r="F75" s="298"/>
      <c r="G75" s="296"/>
      <c r="H75" s="297"/>
      <c r="I75" s="298"/>
      <c r="J75" s="299"/>
      <c r="K75" s="298"/>
      <c r="L75" s="298"/>
      <c r="M75" s="298"/>
      <c r="N75" s="298"/>
      <c r="O75" s="308"/>
      <c r="P75" s="309"/>
      <c r="Q75" s="298"/>
      <c r="R75" s="296"/>
      <c r="S75" s="298"/>
      <c r="T75" s="303"/>
      <c r="U75" s="302"/>
      <c r="V75" s="302"/>
      <c r="W75" s="302"/>
      <c r="X75" s="302"/>
      <c r="Y75" s="302"/>
      <c r="Z75" s="302"/>
      <c r="AA75" s="302"/>
      <c r="AB75" s="302"/>
      <c r="AC75" s="302"/>
      <c r="AD75" s="302"/>
      <c r="AE75" s="302"/>
      <c r="AF75" s="302"/>
      <c r="AG75" s="302"/>
      <c r="AH75" s="302"/>
      <c r="AI75" s="302"/>
      <c r="AJ75" s="302"/>
      <c r="AK75" s="302"/>
      <c r="AL75" s="302"/>
      <c r="AM75" s="303"/>
      <c r="AN75" s="303"/>
      <c r="AO75" s="303"/>
      <c r="AP75" s="303"/>
      <c r="AQ75" s="303"/>
      <c r="AR75" s="303"/>
      <c r="AS75" s="303"/>
      <c r="AT75" s="303"/>
      <c r="AU75" s="303"/>
      <c r="AV75" s="303"/>
      <c r="AW75" s="303"/>
      <c r="AX75" s="303"/>
      <c r="AY75" s="303"/>
      <c r="AZ75" s="303"/>
      <c r="BA75" s="303"/>
      <c r="BB75" s="303"/>
    </row>
    <row r="76" spans="1:56" s="30" customFormat="1" ht="15.75" x14ac:dyDescent="0.2">
      <c r="B76" s="8"/>
      <c r="C76" s="33"/>
      <c r="D76" s="81"/>
      <c r="G76" s="33"/>
      <c r="H76" s="81"/>
      <c r="J76" s="32"/>
      <c r="O76" s="249" t="s">
        <v>584</v>
      </c>
      <c r="P76" s="67"/>
      <c r="Q76" s="104"/>
      <c r="R76" s="59" t="s">
        <v>318</v>
      </c>
      <c r="S76" s="104"/>
      <c r="T76" s="36"/>
      <c r="U76" s="35"/>
      <c r="V76" s="35"/>
      <c r="W76" s="35"/>
      <c r="X76" s="35"/>
      <c r="Y76" s="35"/>
      <c r="Z76" s="35"/>
      <c r="AA76" s="35"/>
      <c r="AB76" s="35"/>
      <c r="AC76" s="35"/>
      <c r="AD76" s="35"/>
      <c r="AE76" s="35"/>
      <c r="AF76" s="35"/>
      <c r="AG76" s="35"/>
      <c r="AH76" s="35"/>
      <c r="AI76" s="35"/>
      <c r="AJ76" s="35"/>
      <c r="AK76" s="35"/>
      <c r="AL76" s="35"/>
      <c r="AM76" s="36"/>
      <c r="AN76" s="36"/>
      <c r="AO76" s="36"/>
      <c r="AP76" s="36"/>
      <c r="AQ76" s="36"/>
      <c r="AR76" s="36"/>
      <c r="AS76" s="36"/>
      <c r="AT76" s="36"/>
      <c r="AU76" s="36"/>
      <c r="AV76" s="36"/>
      <c r="AW76" s="36"/>
      <c r="AX76" s="36"/>
      <c r="AY76" s="36"/>
      <c r="AZ76" s="36"/>
      <c r="BA76" s="36"/>
      <c r="BB76" s="36"/>
      <c r="BC76" s="54"/>
      <c r="BD76" s="54"/>
    </row>
    <row r="77" spans="1:56" s="30" customFormat="1" ht="30" x14ac:dyDescent="0.2">
      <c r="B77" s="76" t="s">
        <v>466</v>
      </c>
      <c r="C77" s="152"/>
      <c r="D77" s="81" t="s">
        <v>163</v>
      </c>
      <c r="G77" s="33"/>
      <c r="H77" s="81"/>
      <c r="J77" s="32" t="s">
        <v>513</v>
      </c>
      <c r="K77" s="92" t="str">
        <f>IFERROR(IF(ISNUMBER(L77),L77,Muut!$F$29*VLOOKUP(C78,Muut!D40:E43,2,FALSE)),"--")</f>
        <v>--</v>
      </c>
      <c r="L77" s="61"/>
      <c r="M77" s="40" t="s">
        <v>207</v>
      </c>
      <c r="N77" s="40"/>
      <c r="O77" s="250"/>
      <c r="Q77" s="34"/>
      <c r="R77" s="105" t="str">
        <f>IF(AND(ISNUMBER(K77),ISNUMBER(C77)),K77*C77,"")</f>
        <v/>
      </c>
      <c r="S77" s="98" t="s">
        <v>160</v>
      </c>
      <c r="T77" s="59"/>
      <c r="U77" s="59"/>
      <c r="V77" s="59"/>
      <c r="W77" s="35"/>
      <c r="X77" s="35"/>
      <c r="Y77" s="35"/>
      <c r="Z77" s="35"/>
      <c r="AA77" s="35"/>
      <c r="AB77" s="35"/>
      <c r="AC77" s="35"/>
      <c r="AD77" s="35"/>
      <c r="AE77" s="35"/>
      <c r="AF77" s="35"/>
      <c r="AG77" s="35"/>
      <c r="AH77" s="35"/>
      <c r="AI77" s="35"/>
      <c r="AJ77" s="35"/>
      <c r="AK77" s="36"/>
      <c r="AL77" s="36"/>
      <c r="AM77" s="36"/>
      <c r="AN77" s="36"/>
      <c r="AO77" s="36"/>
      <c r="AP77" s="36"/>
      <c r="AQ77" s="36"/>
      <c r="AR77" s="36"/>
      <c r="AS77" s="36"/>
      <c r="AT77" s="36"/>
      <c r="AU77" s="36"/>
      <c r="AV77" s="36"/>
      <c r="AW77" s="36"/>
      <c r="AX77" s="36"/>
      <c r="AY77" s="36"/>
      <c r="AZ77" s="36"/>
      <c r="BA77" s="36"/>
      <c r="BB77" s="36"/>
    </row>
    <row r="78" spans="1:56" s="30" customFormat="1" ht="15" x14ac:dyDescent="0.2">
      <c r="B78" s="166" t="s">
        <v>460</v>
      </c>
      <c r="C78" s="156" t="s">
        <v>309</v>
      </c>
      <c r="D78" s="33"/>
      <c r="E78" s="33"/>
      <c r="F78" s="33"/>
      <c r="G78" s="33"/>
      <c r="H78" s="57"/>
      <c r="J78" s="169"/>
      <c r="K78" s="169"/>
      <c r="L78" s="169"/>
      <c r="M78" s="40"/>
      <c r="N78" s="40"/>
      <c r="O78" s="250"/>
      <c r="Q78" s="45"/>
      <c r="R78" s="59"/>
      <c r="S78" s="98"/>
      <c r="T78" s="35"/>
      <c r="U78" s="35"/>
      <c r="V78" s="177"/>
      <c r="W78" s="177"/>
      <c r="X78" s="59"/>
      <c r="Y78" s="35"/>
      <c r="Z78" s="59"/>
      <c r="AA78" s="178"/>
      <c r="AB78" s="59"/>
      <c r="AC78" s="59"/>
      <c r="AD78" s="59"/>
      <c r="AE78" s="59"/>
      <c r="AF78" s="178"/>
      <c r="AG78" s="59"/>
      <c r="AH78" s="104"/>
      <c r="AI78" s="35"/>
      <c r="AJ78" s="35"/>
      <c r="AK78" s="36"/>
      <c r="AL78" s="36"/>
      <c r="AM78" s="36"/>
      <c r="AN78" s="36"/>
      <c r="AO78" s="36"/>
      <c r="AP78" s="36"/>
      <c r="AQ78" s="36"/>
      <c r="AR78" s="36"/>
      <c r="AS78" s="36"/>
      <c r="AT78" s="36"/>
      <c r="AU78" s="36"/>
      <c r="AV78" s="36"/>
      <c r="AW78" s="36"/>
      <c r="AX78" s="36"/>
      <c r="AY78" s="36"/>
      <c r="AZ78" s="36"/>
      <c r="BA78" s="36"/>
      <c r="BB78" s="36"/>
    </row>
    <row r="79" spans="1:56" s="30" customFormat="1" ht="30" x14ac:dyDescent="0.2">
      <c r="B79" s="76" t="s">
        <v>737</v>
      </c>
      <c r="C79" s="152"/>
      <c r="D79" s="81" t="s">
        <v>163</v>
      </c>
      <c r="G79" s="33"/>
      <c r="H79" s="81"/>
      <c r="J79" s="32" t="s">
        <v>471</v>
      </c>
      <c r="K79" s="92">
        <f>IF(ISNUMBER(L79),L79,Muut!$F$30)</f>
        <v>9.4500000000000011</v>
      </c>
      <c r="L79" s="181"/>
      <c r="M79" s="40" t="s">
        <v>207</v>
      </c>
      <c r="N79" s="40"/>
      <c r="O79" s="250" t="s">
        <v>684</v>
      </c>
      <c r="Q79" s="34"/>
      <c r="R79" s="105" t="str">
        <f>IF(AND(ISNUMBER(K79),ISNUMBER(C79)),K79*C79,"")</f>
        <v/>
      </c>
      <c r="S79" s="98" t="s">
        <v>160</v>
      </c>
      <c r="T79" s="35"/>
      <c r="U79" s="35"/>
      <c r="V79" s="35"/>
      <c r="W79" s="35"/>
      <c r="X79" s="35"/>
      <c r="Y79" s="35"/>
      <c r="Z79" s="35"/>
      <c r="AA79" s="35"/>
      <c r="AB79" s="35"/>
      <c r="AC79" s="35"/>
      <c r="AD79" s="35"/>
      <c r="AE79" s="35"/>
      <c r="AF79" s="35"/>
      <c r="AG79" s="35"/>
      <c r="AH79" s="35"/>
      <c r="AI79" s="35"/>
      <c r="AJ79" s="35"/>
      <c r="AK79" s="36"/>
      <c r="AL79" s="36"/>
      <c r="AM79" s="36"/>
      <c r="AN79" s="36"/>
      <c r="AO79" s="36"/>
      <c r="AP79" s="36"/>
      <c r="AQ79" s="36"/>
      <c r="AR79" s="36"/>
      <c r="AS79" s="36"/>
      <c r="AT79" s="36"/>
      <c r="AU79" s="36"/>
      <c r="AV79" s="36"/>
      <c r="AW79" s="36"/>
      <c r="AX79" s="36"/>
      <c r="AY79" s="36"/>
      <c r="AZ79" s="36"/>
      <c r="BA79" s="36"/>
      <c r="BB79" s="36"/>
    </row>
    <row r="80" spans="1:56" s="30" customFormat="1" ht="15" x14ac:dyDescent="0.2">
      <c r="B80" s="166" t="s">
        <v>520</v>
      </c>
      <c r="C80" s="150"/>
      <c r="D80" s="81" t="str">
        <f>IF(ISBLANK(C80),"%","")</f>
        <v>%</v>
      </c>
      <c r="E80" s="33"/>
      <c r="F80" s="33"/>
      <c r="G80" s="33"/>
      <c r="H80" s="81"/>
      <c r="J80" s="32" t="s">
        <v>472</v>
      </c>
      <c r="K80" s="92">
        <f>IF(ISNUMBER(L80),L80,Muut!$F$32)</f>
        <v>9.4500000000000011</v>
      </c>
      <c r="L80" s="181"/>
      <c r="M80" s="40" t="s">
        <v>207</v>
      </c>
      <c r="N80" s="40"/>
      <c r="O80" s="250" t="s">
        <v>684</v>
      </c>
      <c r="Q80" s="34"/>
      <c r="R80" s="105" t="str">
        <f>IF(AND(ISNUMBER(K80),ISNUMBER(C80)),-K80*C80*C79,"")</f>
        <v/>
      </c>
      <c r="S80" s="98" t="s">
        <v>160</v>
      </c>
      <c r="T80" s="98" t="s">
        <v>473</v>
      </c>
      <c r="U80" s="35"/>
      <c r="V80" s="35"/>
      <c r="W80" s="35"/>
      <c r="X80" s="35"/>
      <c r="Y80" s="35"/>
      <c r="Z80" s="35"/>
      <c r="AA80" s="35"/>
      <c r="AB80" s="35"/>
      <c r="AC80" s="35"/>
      <c r="AD80" s="35"/>
      <c r="AE80" s="35"/>
      <c r="AF80" s="35"/>
      <c r="AG80" s="35"/>
      <c r="AH80" s="35"/>
      <c r="AI80" s="35"/>
      <c r="AJ80" s="35"/>
      <c r="AK80" s="36"/>
      <c r="AL80" s="36"/>
      <c r="AM80" s="36"/>
      <c r="AN80" s="36"/>
      <c r="AO80" s="36"/>
      <c r="AP80" s="36"/>
      <c r="AQ80" s="36"/>
      <c r="AR80" s="36"/>
      <c r="AS80" s="36"/>
      <c r="AT80" s="36"/>
      <c r="AU80" s="36"/>
      <c r="AV80" s="36"/>
      <c r="AW80" s="36"/>
      <c r="AX80" s="36"/>
      <c r="AY80" s="36"/>
      <c r="AZ80" s="36"/>
      <c r="BA80" s="36"/>
      <c r="BB80" s="36"/>
    </row>
    <row r="81" spans="1:56" s="30" customFormat="1" ht="15" x14ac:dyDescent="0.2">
      <c r="B81" s="73"/>
      <c r="C81" s="33"/>
      <c r="D81" s="81"/>
      <c r="G81" s="33"/>
      <c r="H81" s="81"/>
      <c r="J81" s="32"/>
      <c r="O81" s="167"/>
      <c r="P81" s="67"/>
      <c r="Q81" s="104"/>
      <c r="R81" s="94"/>
      <c r="S81" s="104"/>
      <c r="T81" s="36"/>
      <c r="U81" s="35"/>
      <c r="V81" s="35"/>
      <c r="W81" s="35"/>
      <c r="X81" s="35"/>
      <c r="Y81" s="35"/>
      <c r="Z81" s="35"/>
      <c r="AA81" s="35"/>
      <c r="AB81" s="35"/>
      <c r="AC81" s="35"/>
      <c r="AD81" s="35"/>
      <c r="AE81" s="35"/>
      <c r="AF81" s="35"/>
      <c r="AG81" s="35"/>
      <c r="AH81" s="35"/>
      <c r="AI81" s="35"/>
      <c r="AJ81" s="35"/>
      <c r="AK81" s="35"/>
      <c r="AL81" s="35"/>
      <c r="AM81" s="36"/>
      <c r="AN81" s="36"/>
      <c r="AO81" s="36"/>
      <c r="AP81" s="36"/>
      <c r="AQ81" s="36"/>
      <c r="AR81" s="36"/>
      <c r="AS81" s="36"/>
      <c r="AT81" s="36"/>
      <c r="AU81" s="36"/>
      <c r="AV81" s="36"/>
      <c r="AW81" s="36"/>
      <c r="AX81" s="36"/>
      <c r="AY81" s="36"/>
      <c r="AZ81" s="36"/>
      <c r="BA81" s="36"/>
      <c r="BB81" s="36"/>
      <c r="BC81" s="54"/>
      <c r="BD81" s="54"/>
    </row>
    <row r="82" spans="1:56" s="30" customFormat="1" ht="18" x14ac:dyDescent="0.2">
      <c r="A82" s="289"/>
      <c r="B82" s="286" t="s">
        <v>421</v>
      </c>
      <c r="C82" s="287"/>
      <c r="D82" s="288"/>
      <c r="E82" s="289"/>
      <c r="F82" s="289"/>
      <c r="G82" s="290"/>
      <c r="H82" s="288"/>
      <c r="I82" s="289"/>
      <c r="J82" s="306"/>
      <c r="K82" s="290"/>
      <c r="L82" s="290"/>
      <c r="M82" s="288"/>
      <c r="N82" s="288"/>
      <c r="O82" s="291"/>
      <c r="P82" s="307"/>
      <c r="Q82" s="295"/>
      <c r="R82" s="293" t="str">
        <f>IF(OR(ISNUMBER(#REF!),ISNUMBER(#REF!),ISNUMBER(#REF!),ISNUMBER(#REF!),ISNUMBER(#REF!)),SUM(#REF!,#REF!,#REF!,#REF!,#REF!),"")</f>
        <v/>
      </c>
      <c r="S82" s="294"/>
      <c r="T82" s="294"/>
      <c r="U82" s="294"/>
      <c r="V82" s="294"/>
      <c r="W82" s="294"/>
      <c r="X82" s="294"/>
      <c r="Y82" s="294"/>
      <c r="Z82" s="294"/>
      <c r="AA82" s="294"/>
      <c r="AB82" s="294"/>
      <c r="AC82" s="294"/>
      <c r="AD82" s="294"/>
      <c r="AE82" s="294"/>
      <c r="AF82" s="294"/>
      <c r="AG82" s="294"/>
      <c r="AH82" s="294"/>
      <c r="AI82" s="294"/>
      <c r="AJ82" s="294"/>
      <c r="AK82" s="295"/>
      <c r="AL82" s="295"/>
      <c r="AM82" s="295"/>
      <c r="AN82" s="295"/>
      <c r="AO82" s="295"/>
      <c r="AP82" s="295"/>
      <c r="AQ82" s="295"/>
      <c r="AR82" s="295"/>
      <c r="AS82" s="295"/>
      <c r="AT82" s="295"/>
      <c r="AU82" s="295"/>
      <c r="AV82" s="295"/>
      <c r="AW82" s="295"/>
      <c r="AX82" s="295"/>
      <c r="AY82" s="295"/>
      <c r="AZ82" s="295"/>
      <c r="BA82" s="295"/>
      <c r="BB82" s="295"/>
    </row>
    <row r="83" spans="1:56" s="30" customFormat="1" ht="15.75" x14ac:dyDescent="0.2">
      <c r="B83" s="8"/>
      <c r="C83" s="33" t="s">
        <v>50</v>
      </c>
      <c r="D83" s="81"/>
      <c r="G83" s="37" t="s">
        <v>183</v>
      </c>
      <c r="H83" s="81"/>
      <c r="J83" s="32"/>
      <c r="K83" s="37" t="s">
        <v>297</v>
      </c>
      <c r="L83" s="37" t="s">
        <v>185</v>
      </c>
      <c r="M83" s="81"/>
      <c r="N83" s="81"/>
      <c r="O83" s="249" t="s">
        <v>584</v>
      </c>
      <c r="P83" s="37"/>
      <c r="Q83" s="34"/>
      <c r="R83" s="35" t="s">
        <v>318</v>
      </c>
      <c r="S83" s="35"/>
      <c r="T83" s="35" t="s">
        <v>343</v>
      </c>
      <c r="U83" s="35" t="s">
        <v>153</v>
      </c>
      <c r="V83" s="35" t="s">
        <v>323</v>
      </c>
      <c r="W83" s="104"/>
      <c r="X83" s="35"/>
      <c r="Y83" s="35"/>
      <c r="Z83" s="35"/>
      <c r="AA83" s="35"/>
      <c r="AB83" s="35"/>
      <c r="AC83" s="35"/>
      <c r="AD83" s="35"/>
      <c r="AE83" s="35"/>
      <c r="AF83" s="35"/>
      <c r="AG83" s="35"/>
      <c r="AH83" s="35"/>
      <c r="AI83" s="35"/>
      <c r="AJ83" s="35"/>
      <c r="AK83" s="36"/>
      <c r="AL83" s="36"/>
      <c r="AM83" s="36"/>
      <c r="AN83" s="36"/>
      <c r="AO83" s="36"/>
      <c r="AP83" s="36"/>
      <c r="AQ83" s="36"/>
      <c r="AR83" s="36"/>
      <c r="AS83" s="36"/>
      <c r="AT83" s="36"/>
      <c r="AU83" s="36"/>
      <c r="AV83" s="36"/>
      <c r="AW83" s="36"/>
      <c r="AX83" s="36"/>
      <c r="AY83" s="36"/>
      <c r="AZ83" s="36"/>
      <c r="BA83" s="36"/>
      <c r="BB83" s="36"/>
    </row>
    <row r="84" spans="1:56" s="30" customFormat="1" ht="15" x14ac:dyDescent="0.2">
      <c r="B84" s="159" t="s">
        <v>416</v>
      </c>
      <c r="C84" s="156"/>
      <c r="D84" s="88" t="s">
        <v>390</v>
      </c>
      <c r="E84" s="57"/>
      <c r="G84" s="65">
        <v>1.8</v>
      </c>
      <c r="H84" s="81" t="str">
        <f>IF(D84="t","t/t","t/m3")</f>
        <v>t/m3</v>
      </c>
      <c r="J84" s="32" t="s">
        <v>420</v>
      </c>
      <c r="K84" s="401">
        <f>IF(ISNUMBER(L84),L84,VLOOKUP(B84,Materiaalit!$C$5:$M$16,7,FALSE))</f>
        <v>6.0000000000000001E-3</v>
      </c>
      <c r="L84" s="39"/>
      <c r="M84" s="40" t="s">
        <v>422</v>
      </c>
      <c r="N84" s="40"/>
      <c r="O84" s="250"/>
      <c r="P84" s="40"/>
      <c r="Q84" s="50"/>
      <c r="R84" s="48" t="str">
        <f>IF(ISNUMBER(K84*V84*1000),K84*V84*1000,"")</f>
        <v/>
      </c>
      <c r="S84" s="98" t="s">
        <v>160</v>
      </c>
      <c r="T84" s="48" t="str">
        <f>IF(ISBLANK(C84),"",IF(D84="t",C84,C84*G84))</f>
        <v/>
      </c>
      <c r="U84" s="46">
        <f>VLOOKUP(B84,Materiaalit!$C$5:$M$16,11,FALSE)</f>
        <v>1.05</v>
      </c>
      <c r="V84" s="48" t="str">
        <f>IF(ISNUMBER(U84*T84),U84*T84,"")</f>
        <v/>
      </c>
      <c r="W84" s="104"/>
      <c r="X84" s="35"/>
      <c r="Y84" s="35"/>
      <c r="Z84" s="35"/>
      <c r="AA84" s="35"/>
      <c r="AB84" s="35"/>
      <c r="AC84" s="35"/>
      <c r="AD84" s="35"/>
      <c r="AE84" s="35"/>
      <c r="AF84" s="35"/>
      <c r="AG84" s="35"/>
      <c r="AH84" s="35"/>
      <c r="AI84" s="35"/>
      <c r="AJ84" s="35"/>
      <c r="AK84" s="36"/>
      <c r="AL84" s="36"/>
      <c r="AM84" s="36"/>
      <c r="AN84" s="36"/>
      <c r="AO84" s="36"/>
      <c r="AP84" s="36"/>
      <c r="AQ84" s="36"/>
      <c r="AR84" s="36"/>
      <c r="AS84" s="36"/>
      <c r="AT84" s="36"/>
      <c r="AU84" s="36"/>
      <c r="AV84" s="36"/>
      <c r="AW84" s="36"/>
      <c r="AX84" s="36"/>
      <c r="AY84" s="36"/>
      <c r="AZ84" s="36"/>
      <c r="BA84" s="36"/>
      <c r="BB84" s="36"/>
    </row>
    <row r="85" spans="1:56" s="30" customFormat="1" ht="15" x14ac:dyDescent="0.2">
      <c r="B85" s="159" t="s">
        <v>415</v>
      </c>
      <c r="C85" s="156"/>
      <c r="D85" s="86" t="s">
        <v>390</v>
      </c>
      <c r="E85" s="57"/>
      <c r="G85" s="65">
        <v>1.7</v>
      </c>
      <c r="H85" s="81" t="str">
        <f t="shared" ref="H85:H88" si="0">IF(D85="t","t/t","t/m3")</f>
        <v>t/m3</v>
      </c>
      <c r="J85" s="32" t="s">
        <v>420</v>
      </c>
      <c r="K85" s="401">
        <f>IF(ISNUMBER(L85),L85,VLOOKUP(B85,Materiaalit!$C$5:$M$16,7,FALSE))</f>
        <v>6.0000000000000001E-3</v>
      </c>
      <c r="L85" s="39"/>
      <c r="M85" s="40" t="s">
        <v>422</v>
      </c>
      <c r="N85" s="40"/>
      <c r="O85" s="250"/>
      <c r="P85" s="40"/>
      <c r="Q85" s="50"/>
      <c r="R85" s="48" t="str">
        <f>IF(ISNUMBER(K85*V85*1000),K85*V85*1000,"")</f>
        <v/>
      </c>
      <c r="S85" s="98" t="s">
        <v>160</v>
      </c>
      <c r="T85" s="48" t="str">
        <f>IF(ISBLANK(C85),"",IF(D85="t",C85,C85*G85))</f>
        <v/>
      </c>
      <c r="U85" s="46">
        <f>VLOOKUP(B85,Materiaalit!$C$5:$M$16,11,FALSE)</f>
        <v>1.05</v>
      </c>
      <c r="V85" s="48" t="str">
        <f>IF(ISNUMBER(U85*T85),U85*T85,"")</f>
        <v/>
      </c>
      <c r="W85" s="104"/>
      <c r="X85" s="35"/>
      <c r="Y85" s="35"/>
      <c r="Z85" s="35"/>
      <c r="AA85" s="35"/>
      <c r="AB85" s="35"/>
      <c r="AC85" s="35"/>
      <c r="AD85" s="35"/>
      <c r="AE85" s="35"/>
      <c r="AF85" s="35"/>
      <c r="AG85" s="35"/>
      <c r="AH85" s="35"/>
      <c r="AI85" s="35"/>
      <c r="AJ85" s="35"/>
      <c r="AK85" s="36"/>
      <c r="AL85" s="36"/>
      <c r="AM85" s="36"/>
      <c r="AN85" s="36"/>
      <c r="AO85" s="36"/>
      <c r="AP85" s="36"/>
      <c r="AQ85" s="36"/>
      <c r="AR85" s="36"/>
      <c r="AS85" s="36"/>
      <c r="AT85" s="36"/>
      <c r="AU85" s="36"/>
      <c r="AV85" s="36"/>
      <c r="AW85" s="36"/>
      <c r="AX85" s="36"/>
      <c r="AY85" s="36"/>
      <c r="AZ85" s="36"/>
      <c r="BA85" s="36"/>
      <c r="BB85" s="36"/>
    </row>
    <row r="86" spans="1:56" s="30" customFormat="1" ht="15" x14ac:dyDescent="0.2">
      <c r="B86" s="159" t="s">
        <v>417</v>
      </c>
      <c r="C86" s="156"/>
      <c r="D86" s="89" t="s">
        <v>390</v>
      </c>
      <c r="E86" s="57"/>
      <c r="G86" s="65">
        <v>1.7</v>
      </c>
      <c r="H86" s="81" t="str">
        <f t="shared" si="0"/>
        <v>t/m3</v>
      </c>
      <c r="J86" s="32" t="s">
        <v>420</v>
      </c>
      <c r="K86" s="401">
        <f>IF(ISNUMBER(L86),L86,VLOOKUP(B86,Materiaalit!$C$5:$M$16,7,FALSE))</f>
        <v>4.0000000000000001E-3</v>
      </c>
      <c r="L86" s="39"/>
      <c r="M86" s="40" t="s">
        <v>422</v>
      </c>
      <c r="N86" s="40"/>
      <c r="O86" s="250"/>
      <c r="P86" s="40"/>
      <c r="Q86" s="50"/>
      <c r="R86" s="48" t="str">
        <f>IF(ISNUMBER(K86*V86*1000),K86*V86*1000,"")</f>
        <v/>
      </c>
      <c r="S86" s="98" t="s">
        <v>160</v>
      </c>
      <c r="T86" s="48" t="str">
        <f>IF(ISBLANK(C86),"",IF(D86="t",C86,C86*G86))</f>
        <v/>
      </c>
      <c r="U86" s="46">
        <f>VLOOKUP(B86,Materiaalit!$C$5:$M$16,11,FALSE)</f>
        <v>1.05</v>
      </c>
      <c r="V86" s="48" t="str">
        <f>IF(ISNUMBER(U86*T86),U86*T86,"")</f>
        <v/>
      </c>
      <c r="W86" s="104"/>
      <c r="X86" s="35"/>
      <c r="Y86" s="35"/>
      <c r="Z86" s="35"/>
      <c r="AA86" s="35"/>
      <c r="AB86" s="35"/>
      <c r="AC86" s="35"/>
      <c r="AD86" s="35"/>
      <c r="AE86" s="35"/>
      <c r="AF86" s="35"/>
      <c r="AG86" s="35"/>
      <c r="AH86" s="35"/>
      <c r="AI86" s="35"/>
      <c r="AJ86" s="35"/>
      <c r="AK86" s="36"/>
      <c r="AL86" s="36"/>
      <c r="AM86" s="36"/>
      <c r="AN86" s="36"/>
      <c r="AO86" s="36"/>
      <c r="AP86" s="36"/>
      <c r="AQ86" s="36"/>
      <c r="AR86" s="36"/>
      <c r="AS86" s="36"/>
      <c r="AT86" s="36"/>
      <c r="AU86" s="36"/>
      <c r="AV86" s="36"/>
      <c r="AW86" s="36"/>
      <c r="AX86" s="36"/>
      <c r="AY86" s="36"/>
      <c r="AZ86" s="36"/>
      <c r="BA86" s="36"/>
      <c r="BB86" s="36"/>
    </row>
    <row r="87" spans="1:56" s="30" customFormat="1" ht="15" x14ac:dyDescent="0.2">
      <c r="B87" s="159" t="s">
        <v>418</v>
      </c>
      <c r="C87" s="156"/>
      <c r="D87" s="86" t="s">
        <v>390</v>
      </c>
      <c r="E87" s="57"/>
      <c r="G87" s="65">
        <v>1.4</v>
      </c>
      <c r="H87" s="81" t="str">
        <f t="shared" si="0"/>
        <v>t/m3</v>
      </c>
      <c r="J87" s="32" t="s">
        <v>420</v>
      </c>
      <c r="K87" s="401">
        <f>IF(ISNUMBER(L87),L87,VLOOKUP(B87,Materiaalit!$C$5:$M$16,7,FALSE))</f>
        <v>4.0000000000000001E-3</v>
      </c>
      <c r="L87" s="39"/>
      <c r="M87" s="40" t="s">
        <v>422</v>
      </c>
      <c r="N87" s="40"/>
      <c r="O87" s="250"/>
      <c r="P87" s="40"/>
      <c r="Q87" s="50"/>
      <c r="R87" s="48" t="str">
        <f>IF(ISNUMBER(K87*V87*1000),K87*V87*1000,"")</f>
        <v/>
      </c>
      <c r="S87" s="98" t="s">
        <v>160</v>
      </c>
      <c r="T87" s="48" t="str">
        <f>IF(ISBLANK(C87),"",IF(D87="t",C87,C87*G87))</f>
        <v/>
      </c>
      <c r="U87" s="46">
        <f>VLOOKUP(B87,Materiaalit!$C$5:$M$16,11,FALSE)</f>
        <v>1.05</v>
      </c>
      <c r="V87" s="48" t="str">
        <f>IF(ISNUMBER(U87*T87),U87*T87,"")</f>
        <v/>
      </c>
      <c r="W87" s="104"/>
      <c r="X87" s="35"/>
      <c r="Y87" s="35"/>
      <c r="Z87" s="35"/>
      <c r="AA87" s="35"/>
      <c r="AB87" s="35"/>
      <c r="AC87" s="35"/>
      <c r="AD87" s="35"/>
      <c r="AE87" s="35"/>
      <c r="AF87" s="35"/>
      <c r="AG87" s="35"/>
      <c r="AH87" s="35"/>
      <c r="AI87" s="35"/>
      <c r="AJ87" s="35"/>
      <c r="AK87" s="36"/>
      <c r="AL87" s="36"/>
      <c r="AM87" s="36"/>
      <c r="AN87" s="36"/>
      <c r="AO87" s="36"/>
      <c r="AP87" s="36"/>
      <c r="AQ87" s="36"/>
      <c r="AR87" s="36"/>
      <c r="AS87" s="36"/>
      <c r="AT87" s="36"/>
      <c r="AU87" s="36"/>
      <c r="AV87" s="36"/>
      <c r="AW87" s="36"/>
      <c r="AX87" s="36"/>
      <c r="AY87" s="36"/>
      <c r="AZ87" s="36"/>
      <c r="BA87" s="36"/>
      <c r="BB87" s="36"/>
    </row>
    <row r="88" spans="1:56" s="30" customFormat="1" ht="15" x14ac:dyDescent="0.2">
      <c r="B88" s="168" t="s">
        <v>419</v>
      </c>
      <c r="C88" s="156"/>
      <c r="D88" s="86" t="s">
        <v>390</v>
      </c>
      <c r="E88" s="57"/>
      <c r="G88" s="156"/>
      <c r="H88" s="81" t="str">
        <f t="shared" si="0"/>
        <v>t/m3</v>
      </c>
      <c r="J88" s="32" t="s">
        <v>420</v>
      </c>
      <c r="K88" s="401">
        <f>IF(ISNUMBER(L88),L88,Materiaalit!$I$18)</f>
        <v>5.0000000000000001E-3</v>
      </c>
      <c r="L88" s="39"/>
      <c r="M88" s="40" t="s">
        <v>422</v>
      </c>
      <c r="N88" s="40"/>
      <c r="O88" s="250"/>
      <c r="P88" s="40"/>
      <c r="Q88" s="50"/>
      <c r="R88" s="48" t="str">
        <f>IF(ISNUMBER(K88*V88*1000),K88*V88*1000,"")</f>
        <v/>
      </c>
      <c r="S88" s="98" t="s">
        <v>160</v>
      </c>
      <c r="T88" s="48" t="str">
        <f>IF(ISBLANK(C88),"",IF(D88="t",C88,C88*G88))</f>
        <v/>
      </c>
      <c r="U88" s="46">
        <f>Materiaalit!$M$18</f>
        <v>1.05</v>
      </c>
      <c r="V88" s="48" t="str">
        <f>IF(ISNUMBER(U88*T88),U88*T88,"")</f>
        <v/>
      </c>
      <c r="W88" s="104"/>
      <c r="X88" s="35"/>
      <c r="Y88" s="35"/>
      <c r="Z88" s="35"/>
      <c r="AA88" s="35"/>
      <c r="AB88" s="35"/>
      <c r="AC88" s="35"/>
      <c r="AD88" s="35"/>
      <c r="AE88" s="35"/>
      <c r="AF88" s="35"/>
      <c r="AG88" s="35"/>
      <c r="AH88" s="35"/>
      <c r="AI88" s="35"/>
      <c r="AJ88" s="35"/>
      <c r="AK88" s="36"/>
      <c r="AL88" s="36"/>
      <c r="AM88" s="36"/>
      <c r="AN88" s="36"/>
      <c r="AO88" s="36"/>
      <c r="AP88" s="36"/>
      <c r="AQ88" s="36"/>
      <c r="AR88" s="36"/>
      <c r="AS88" s="36"/>
      <c r="AT88" s="36"/>
      <c r="AU88" s="36"/>
      <c r="AV88" s="36"/>
      <c r="AW88" s="36"/>
      <c r="AX88" s="36"/>
      <c r="AY88" s="36"/>
      <c r="AZ88" s="36"/>
      <c r="BA88" s="36"/>
      <c r="BB88" s="36"/>
    </row>
    <row r="89" spans="1:56" s="30" customFormat="1" ht="15" x14ac:dyDescent="0.2">
      <c r="B89" s="52"/>
      <c r="C89" s="33"/>
      <c r="D89" s="81"/>
      <c r="E89" s="57"/>
      <c r="G89" s="33"/>
      <c r="H89" s="81"/>
      <c r="J89" s="32"/>
      <c r="K89" s="41"/>
      <c r="L89" s="41"/>
      <c r="M89" s="40"/>
      <c r="N89" s="40"/>
      <c r="O89" s="250"/>
      <c r="P89" s="40"/>
      <c r="Q89" s="34"/>
      <c r="R89" s="95"/>
      <c r="S89" s="35"/>
      <c r="T89" s="35"/>
      <c r="U89" s="35"/>
      <c r="V89" s="35"/>
      <c r="W89" s="35"/>
      <c r="X89" s="35"/>
      <c r="Y89" s="35"/>
      <c r="Z89" s="35"/>
      <c r="AA89" s="35"/>
      <c r="AB89" s="35"/>
      <c r="AC89" s="35"/>
      <c r="AD89" s="35"/>
      <c r="AE89" s="35"/>
      <c r="AF89" s="35"/>
      <c r="AG89" s="35"/>
      <c r="AH89" s="35"/>
      <c r="AI89" s="35"/>
      <c r="AJ89" s="35"/>
      <c r="AK89" s="36"/>
      <c r="AL89" s="36"/>
      <c r="AM89" s="36"/>
      <c r="AN89" s="36"/>
      <c r="AO89" s="36"/>
      <c r="AP89" s="36"/>
      <c r="AQ89" s="36"/>
      <c r="AR89" s="36"/>
      <c r="AS89" s="36"/>
      <c r="AT89" s="36"/>
      <c r="AU89" s="36"/>
      <c r="AV89" s="36"/>
      <c r="AW89" s="36"/>
      <c r="AX89" s="36"/>
      <c r="AY89" s="36"/>
      <c r="AZ89" s="36"/>
      <c r="BA89" s="36"/>
      <c r="BB89" s="36"/>
    </row>
    <row r="90" spans="1:56" s="30" customFormat="1" ht="15" x14ac:dyDescent="0.2">
      <c r="B90" s="173" t="s">
        <v>540</v>
      </c>
      <c r="C90" s="33"/>
      <c r="D90" s="81"/>
      <c r="E90" s="57"/>
      <c r="G90" s="33"/>
      <c r="H90" s="81"/>
      <c r="J90" s="32"/>
      <c r="K90" s="41"/>
      <c r="L90" s="41"/>
      <c r="M90" s="40"/>
      <c r="N90" s="40"/>
      <c r="O90" s="250"/>
      <c r="P90" s="40"/>
      <c r="Q90" s="34"/>
      <c r="R90" s="95"/>
      <c r="S90" s="35"/>
      <c r="T90" s="35"/>
      <c r="U90" s="35"/>
      <c r="V90" s="35"/>
      <c r="W90" s="35"/>
      <c r="X90" s="35"/>
      <c r="Y90" s="35"/>
      <c r="Z90" s="35"/>
      <c r="AA90" s="35"/>
      <c r="AB90" s="35"/>
      <c r="AC90" s="35"/>
      <c r="AD90" s="35"/>
      <c r="AE90" s="35"/>
      <c r="AF90" s="35"/>
      <c r="AG90" s="35"/>
      <c r="AH90" s="35"/>
      <c r="AI90" s="35"/>
      <c r="AJ90" s="35"/>
      <c r="AK90" s="36"/>
      <c r="AL90" s="36"/>
      <c r="AM90" s="36"/>
      <c r="AN90" s="36"/>
      <c r="AO90" s="36"/>
      <c r="AP90" s="36"/>
      <c r="AQ90" s="36"/>
      <c r="AR90" s="36"/>
      <c r="AS90" s="36"/>
      <c r="AT90" s="36"/>
      <c r="AU90" s="36"/>
      <c r="AV90" s="36"/>
      <c r="AW90" s="36"/>
      <c r="AX90" s="36"/>
      <c r="AY90" s="36"/>
      <c r="AZ90" s="36"/>
      <c r="BA90" s="36"/>
      <c r="BB90" s="36"/>
    </row>
    <row r="91" spans="1:56" s="30" customFormat="1" ht="15" x14ac:dyDescent="0.2">
      <c r="C91" s="33"/>
      <c r="D91" s="81"/>
      <c r="G91" s="33"/>
      <c r="H91" s="81"/>
      <c r="J91" s="32"/>
      <c r="K91" s="33"/>
      <c r="L91" s="33"/>
      <c r="M91" s="81"/>
      <c r="N91" s="81"/>
      <c r="O91" s="249"/>
      <c r="Q91" s="34"/>
      <c r="R91" s="95"/>
      <c r="S91" s="35"/>
      <c r="T91" s="35"/>
      <c r="U91" s="35"/>
      <c r="V91" s="35"/>
      <c r="W91" s="35"/>
      <c r="X91" s="35"/>
      <c r="Y91" s="35"/>
      <c r="Z91" s="35"/>
      <c r="AA91" s="35"/>
      <c r="AB91" s="35"/>
      <c r="AC91" s="35"/>
      <c r="AD91" s="35"/>
      <c r="AE91" s="35"/>
      <c r="AF91" s="35"/>
      <c r="AG91" s="35"/>
      <c r="AH91" s="35"/>
      <c r="AI91" s="35"/>
      <c r="AJ91" s="35"/>
      <c r="AK91" s="36"/>
      <c r="AL91" s="36"/>
      <c r="AM91" s="36"/>
      <c r="AN91" s="36"/>
      <c r="AO91" s="36"/>
      <c r="AP91" s="36"/>
      <c r="AQ91" s="36"/>
      <c r="AR91" s="36"/>
      <c r="AS91" s="36"/>
      <c r="AT91" s="36"/>
      <c r="AU91" s="36"/>
      <c r="AV91" s="36"/>
      <c r="AW91" s="36"/>
      <c r="AX91" s="36"/>
      <c r="AY91" s="36"/>
      <c r="AZ91" s="36"/>
      <c r="BA91" s="36"/>
      <c r="BB91" s="36"/>
    </row>
    <row r="92" spans="1:56" s="30" customFormat="1" ht="18" x14ac:dyDescent="0.2">
      <c r="A92" s="289"/>
      <c r="B92" s="286" t="s">
        <v>353</v>
      </c>
      <c r="C92" s="287"/>
      <c r="D92" s="288"/>
      <c r="E92" s="288"/>
      <c r="F92" s="288"/>
      <c r="G92" s="288"/>
      <c r="H92" s="288"/>
      <c r="I92" s="288"/>
      <c r="J92" s="288"/>
      <c r="K92" s="288"/>
      <c r="L92" s="288"/>
      <c r="M92" s="288"/>
      <c r="N92" s="288"/>
      <c r="O92" s="291"/>
      <c r="P92" s="305"/>
      <c r="Q92" s="288"/>
      <c r="R92" s="288"/>
      <c r="S92" s="288"/>
      <c r="T92" s="288"/>
      <c r="U92" s="288"/>
      <c r="V92" s="294"/>
      <c r="W92" s="294"/>
      <c r="X92" s="294"/>
      <c r="Y92" s="294"/>
      <c r="Z92" s="294"/>
      <c r="AA92" s="294"/>
      <c r="AB92" s="294"/>
      <c r="AC92" s="294"/>
      <c r="AD92" s="294"/>
      <c r="AE92" s="294"/>
      <c r="AF92" s="294"/>
      <c r="AG92" s="294"/>
      <c r="AH92" s="294"/>
      <c r="AI92" s="294"/>
      <c r="AJ92" s="294"/>
      <c r="AK92" s="295"/>
      <c r="AL92" s="295"/>
      <c r="AM92" s="295"/>
      <c r="AN92" s="295"/>
      <c r="AO92" s="295"/>
      <c r="AP92" s="295"/>
      <c r="AQ92" s="295"/>
      <c r="AR92" s="295"/>
      <c r="AS92" s="295"/>
      <c r="AT92" s="295"/>
      <c r="AU92" s="295"/>
      <c r="AV92" s="295"/>
      <c r="AW92" s="295"/>
      <c r="AX92" s="295"/>
      <c r="AY92" s="295"/>
      <c r="AZ92" s="295"/>
      <c r="BA92" s="295"/>
      <c r="BB92" s="295"/>
    </row>
    <row r="93" spans="1:56" s="30" customFormat="1" ht="15.75" x14ac:dyDescent="0.2">
      <c r="B93" s="8"/>
      <c r="C93" s="33"/>
      <c r="D93" s="81"/>
      <c r="G93" s="37"/>
      <c r="H93" s="81"/>
      <c r="J93" s="32"/>
      <c r="K93" s="37"/>
      <c r="L93" s="37"/>
      <c r="M93" s="83"/>
      <c r="N93" s="83"/>
      <c r="O93" s="249" t="s">
        <v>584</v>
      </c>
      <c r="P93" s="144"/>
      <c r="Q93" s="36"/>
      <c r="R93" s="95"/>
      <c r="S93" s="35"/>
      <c r="T93" s="35"/>
      <c r="U93" s="35"/>
      <c r="V93" s="35"/>
      <c r="W93" s="35"/>
      <c r="X93" s="35"/>
      <c r="Y93" s="35"/>
      <c r="Z93" s="35"/>
      <c r="AA93" s="35"/>
      <c r="AB93" s="35"/>
      <c r="AC93" s="35"/>
      <c r="AD93" s="35"/>
      <c r="AE93" s="35"/>
      <c r="AF93" s="35"/>
      <c r="AG93" s="35"/>
      <c r="AH93" s="35"/>
      <c r="AI93" s="35"/>
      <c r="AJ93" s="35"/>
      <c r="AK93" s="36"/>
      <c r="AL93" s="36"/>
      <c r="AM93" s="36"/>
      <c r="AN93" s="36"/>
      <c r="AO93" s="36"/>
      <c r="AP93" s="36"/>
      <c r="AQ93" s="36"/>
      <c r="AR93" s="36"/>
      <c r="AS93" s="36"/>
      <c r="AT93" s="36"/>
      <c r="AU93" s="36"/>
      <c r="AV93" s="36"/>
      <c r="AW93" s="36"/>
      <c r="AX93" s="36"/>
      <c r="AY93" s="36"/>
      <c r="AZ93" s="36"/>
      <c r="BA93" s="36"/>
      <c r="BB93" s="36"/>
    </row>
    <row r="94" spans="1:56" s="30" customFormat="1" ht="15.75" x14ac:dyDescent="0.2">
      <c r="B94" s="91" t="str">
        <f>IF(LEFT(B84,5)="Louhe","Louhe",B84)</f>
        <v>Louhe</v>
      </c>
      <c r="C94" s="33"/>
      <c r="D94" s="81"/>
      <c r="G94" s="37" t="s">
        <v>183</v>
      </c>
      <c r="H94" s="81"/>
      <c r="I94" s="81"/>
      <c r="J94" s="32"/>
      <c r="K94" s="37" t="s">
        <v>297</v>
      </c>
      <c r="L94" s="37" t="s">
        <v>185</v>
      </c>
      <c r="M94" s="83"/>
      <c r="N94" s="83"/>
      <c r="O94" s="250"/>
      <c r="P94" s="144"/>
      <c r="Q94" s="36"/>
      <c r="R94" s="35" t="s">
        <v>318</v>
      </c>
      <c r="S94" s="35"/>
      <c r="T94" s="35" t="s">
        <v>400</v>
      </c>
      <c r="U94" s="35" t="s">
        <v>399</v>
      </c>
      <c r="V94" s="35" t="s">
        <v>397</v>
      </c>
      <c r="W94" s="35" t="s">
        <v>398</v>
      </c>
      <c r="X94" s="35" t="s">
        <v>401</v>
      </c>
      <c r="Y94" s="35" t="s">
        <v>403</v>
      </c>
      <c r="Z94" s="35" t="s">
        <v>402</v>
      </c>
      <c r="AA94" s="35" t="s">
        <v>186</v>
      </c>
      <c r="AB94" s="35" t="s">
        <v>345</v>
      </c>
      <c r="AC94" s="35" t="s">
        <v>404</v>
      </c>
      <c r="AD94" s="35" t="s">
        <v>346</v>
      </c>
      <c r="AE94" s="35" t="s">
        <v>405</v>
      </c>
      <c r="AF94" s="35" t="s">
        <v>406</v>
      </c>
      <c r="AG94" s="35" t="s">
        <v>578</v>
      </c>
      <c r="AH94" s="104"/>
      <c r="AI94" s="35"/>
      <c r="AJ94" s="35"/>
      <c r="AK94" s="36"/>
      <c r="AL94" s="36"/>
      <c r="AM94" s="36"/>
      <c r="AN94" s="36"/>
      <c r="AO94" s="36"/>
      <c r="AP94" s="36"/>
      <c r="AQ94" s="36"/>
      <c r="AR94" s="36"/>
      <c r="AS94" s="36"/>
      <c r="AT94" s="36"/>
      <c r="AU94" s="36"/>
      <c r="AV94" s="36"/>
      <c r="AW94" s="36"/>
      <c r="AX94" s="36"/>
      <c r="AY94" s="36"/>
      <c r="AZ94" s="36"/>
      <c r="BA94" s="36"/>
      <c r="BB94" s="36"/>
    </row>
    <row r="95" spans="1:56" s="30" customFormat="1" ht="30" x14ac:dyDescent="0.2">
      <c r="B95" s="44" t="s">
        <v>475</v>
      </c>
      <c r="C95" s="171" t="str">
        <f>IF(ISNUMBER(C84),C84,"")</f>
        <v/>
      </c>
      <c r="D95" s="109" t="str">
        <f>D84</f>
        <v>m3rtr</v>
      </c>
      <c r="G95" s="358">
        <f>IF(ISNUMBER(G84),G84,"")</f>
        <v>1.8</v>
      </c>
      <c r="H95" s="81" t="str">
        <f>IF(D95="t","t/t","t/m3")</f>
        <v>t/m3</v>
      </c>
      <c r="I95" s="81"/>
      <c r="J95" s="169" t="s">
        <v>395</v>
      </c>
      <c r="K95" s="92" t="str">
        <f>IFERROR(IF(ISNUMBER(L95),L95,(VLOOKUP(C96,Kalusto!$C$45:$G$84,5,FALSE)*VLOOKUP(C97,Muut!$D$40:$E$43,2,FALSE))),"--")</f>
        <v>--</v>
      </c>
      <c r="L95" s="39"/>
      <c r="M95" s="40" t="s">
        <v>184</v>
      </c>
      <c r="N95" s="40"/>
      <c r="O95" s="250"/>
      <c r="P95" s="145"/>
      <c r="Q95" s="100"/>
      <c r="R95" s="48" t="str">
        <f>IF(AND(NOT(ISNUMBER(AB95)),NOT(ISNUMBER(AG95))),"",IF(ISNUMBER(AB95),AB95,0)+IF(ISNUMBER(AG95),AG95,0))</f>
        <v/>
      </c>
      <c r="S95" s="98" t="s">
        <v>160</v>
      </c>
      <c r="T95" s="46" t="str">
        <f>IFERROR(IF(ISNUMBER(L95),"Kohdetieto",VLOOKUP(C96,Kalusto!$C$45:$L$84,7,FALSE)),"--")</f>
        <v>--</v>
      </c>
      <c r="U95" s="46" t="str">
        <f>IFERROR(IF(ISNUMBER(L95),"Kohdetieto",VLOOKUP(C96,Kalusto!$C$45:$L$84,8,FALSE)),"--")</f>
        <v>--</v>
      </c>
      <c r="V95" s="47" t="str">
        <f>IFERROR(IF(ISNUMBER(L95),"Kohdetieto",VLOOKUP(C96,Kalusto!$C$45:$L$84,9,FALSE)),"--")</f>
        <v>--</v>
      </c>
      <c r="W95" s="47" t="str">
        <f>IFERROR(IF(ISNUMBER(L95),"Kohdetieto",VLOOKUP(C96,Kalusto!$C$45:$L$84,10,FALSE)),"--")</f>
        <v>--</v>
      </c>
      <c r="X95" s="48" t="str">
        <f>IF(ISBLANK(C95),"",IF(D95="t",C95,IF(ISNUMBER(C95*G95),C95*G95,"")))</f>
        <v/>
      </c>
      <c r="Y95" s="46" t="str">
        <f>IF(ISNUMBER(C98),C98,"")</f>
        <v/>
      </c>
      <c r="Z95" s="48" t="str">
        <f>IF(ISNUMBER(X95/(U95*V95)*Y95),X95/(U95*V95)*Y95,"")</f>
        <v/>
      </c>
      <c r="AA95" s="49" t="str">
        <f>IF(ISNUMBER(L95),L95,K95)</f>
        <v>--</v>
      </c>
      <c r="AB95" s="48" t="str">
        <f>IF(ISNUMBER(Y95*X95*K95),Y95*X95*K95,"")</f>
        <v/>
      </c>
      <c r="AC95" s="48" t="str">
        <f>IF(C120="Kyllä",Y95,"")</f>
        <v/>
      </c>
      <c r="AD95" s="48" t="str">
        <f>IF(C120="Kyllä",IF(ISNUMBER(X95/(U95*V95)),X95/(U95*V95),""),"")</f>
        <v/>
      </c>
      <c r="AE95" s="48" t="str">
        <f>IF(ISNUMBER(AD95*AC95),AD95*AC95,"")</f>
        <v/>
      </c>
      <c r="AF95" s="49" t="str">
        <f>IF(ISNUMBER(L96),L96,K96)</f>
        <v>--</v>
      </c>
      <c r="AG95" s="48" t="str">
        <f>IF(ISNUMBER(AC95*AD95*K96),AC95*AD95*K96,"")</f>
        <v/>
      </c>
      <c r="AH95" s="104"/>
      <c r="AI95" s="35"/>
      <c r="AJ95" s="35"/>
      <c r="AK95" s="36"/>
      <c r="AL95" s="36"/>
      <c r="AM95" s="36"/>
      <c r="AN95" s="36"/>
      <c r="AO95" s="36"/>
      <c r="AP95" s="36"/>
      <c r="AQ95" s="36"/>
      <c r="AR95" s="36"/>
      <c r="AS95" s="36"/>
      <c r="AT95" s="36"/>
      <c r="AU95" s="36"/>
      <c r="AV95" s="36"/>
      <c r="AW95" s="36"/>
      <c r="AX95" s="36"/>
      <c r="AY95" s="36"/>
      <c r="AZ95" s="36"/>
      <c r="BA95" s="36"/>
      <c r="BB95" s="36"/>
    </row>
    <row r="96" spans="1:56" s="30" customFormat="1" ht="45" x14ac:dyDescent="0.2">
      <c r="B96" s="166" t="s">
        <v>463</v>
      </c>
      <c r="C96" s="471" t="s">
        <v>298</v>
      </c>
      <c r="D96" s="472"/>
      <c r="E96" s="472"/>
      <c r="F96" s="472"/>
      <c r="G96" s="473"/>
      <c r="H96" s="81"/>
      <c r="I96" s="81"/>
      <c r="J96" s="32" t="s">
        <v>396</v>
      </c>
      <c r="K96" s="92" t="str">
        <f>IFERROR(IF(ISNUMBER(L96),L96,IF($C$120="Ei","",VLOOKUP(C96,Kalusto!$C$45:$U$84,19,FALSE)*VLOOKUP(C97,Muut!$D$40:$E$43,2,FALSE))),"--")</f>
        <v>--</v>
      </c>
      <c r="L96" s="39"/>
      <c r="M96" s="40" t="s">
        <v>188</v>
      </c>
      <c r="N96" s="40"/>
      <c r="O96" s="250"/>
      <c r="P96" s="143"/>
      <c r="Q96" s="101"/>
      <c r="R96" s="35"/>
      <c r="S96" s="35"/>
      <c r="T96" s="35"/>
      <c r="U96" s="35"/>
      <c r="V96" s="35"/>
      <c r="W96" s="35"/>
      <c r="X96" s="35"/>
      <c r="Y96" s="35"/>
      <c r="Z96" s="35"/>
      <c r="AA96" s="35"/>
      <c r="AB96" s="35"/>
      <c r="AC96" s="35"/>
      <c r="AD96" s="35"/>
      <c r="AE96" s="35"/>
      <c r="AF96" s="35"/>
      <c r="AG96" s="35"/>
      <c r="AH96" s="104"/>
      <c r="AI96" s="35"/>
      <c r="AJ96" s="35"/>
      <c r="AK96" s="36"/>
      <c r="AL96" s="36"/>
      <c r="AM96" s="36"/>
      <c r="AN96" s="36"/>
      <c r="AO96" s="36"/>
      <c r="AP96" s="36"/>
      <c r="AQ96" s="36"/>
      <c r="AR96" s="36"/>
      <c r="AS96" s="36"/>
      <c r="AT96" s="36"/>
      <c r="AU96" s="36"/>
      <c r="AV96" s="36"/>
      <c r="AW96" s="36"/>
      <c r="AX96" s="36"/>
      <c r="AY96" s="36"/>
      <c r="AZ96" s="36"/>
      <c r="BA96" s="36"/>
      <c r="BB96" s="36"/>
    </row>
    <row r="97" spans="2:54" s="30" customFormat="1" ht="15" x14ac:dyDescent="0.2">
      <c r="B97" s="182" t="s">
        <v>457</v>
      </c>
      <c r="C97" s="156" t="s">
        <v>309</v>
      </c>
      <c r="D97" s="33"/>
      <c r="E97" s="33"/>
      <c r="F97" s="33"/>
      <c r="G97" s="33"/>
      <c r="H97" s="57"/>
      <c r="J97" s="169"/>
      <c r="K97" s="169"/>
      <c r="L97" s="169"/>
      <c r="M97" s="40"/>
      <c r="N97" s="40"/>
      <c r="O97" s="250"/>
      <c r="Q97" s="45"/>
      <c r="R97" s="98"/>
      <c r="S97" s="98"/>
      <c r="T97" s="35"/>
      <c r="U97" s="35"/>
      <c r="V97" s="177"/>
      <c r="W97" s="177"/>
      <c r="X97" s="59"/>
      <c r="Y97" s="35"/>
      <c r="Z97" s="59"/>
      <c r="AA97" s="178"/>
      <c r="AB97" s="59"/>
      <c r="AC97" s="59"/>
      <c r="AD97" s="59"/>
      <c r="AE97" s="59"/>
      <c r="AF97" s="178"/>
      <c r="AG97" s="59"/>
      <c r="AH97" s="104"/>
      <c r="AI97" s="35"/>
      <c r="AJ97" s="35"/>
      <c r="AK97" s="36"/>
      <c r="AL97" s="36"/>
      <c r="AM97" s="36"/>
      <c r="AN97" s="36"/>
      <c r="AO97" s="36"/>
      <c r="AP97" s="36"/>
      <c r="AQ97" s="36"/>
      <c r="AR97" s="36"/>
      <c r="AS97" s="36"/>
      <c r="AT97" s="36"/>
      <c r="AU97" s="36"/>
      <c r="AV97" s="36"/>
      <c r="AW97" s="36"/>
      <c r="AX97" s="36"/>
      <c r="AY97" s="36"/>
      <c r="AZ97" s="36"/>
      <c r="BA97" s="36"/>
      <c r="BB97" s="36"/>
    </row>
    <row r="98" spans="2:54" s="30" customFormat="1" ht="15" x14ac:dyDescent="0.2">
      <c r="B98" s="44" t="s">
        <v>474</v>
      </c>
      <c r="C98" s="386"/>
      <c r="D98" s="81" t="s">
        <v>5</v>
      </c>
      <c r="G98" s="33"/>
      <c r="H98" s="81"/>
      <c r="I98" s="81"/>
      <c r="J98" s="32"/>
      <c r="K98" s="33"/>
      <c r="L98" s="33"/>
      <c r="M98" s="81"/>
      <c r="N98" s="81"/>
      <c r="O98" s="251"/>
      <c r="P98" s="146"/>
      <c r="Q98" s="101"/>
      <c r="R98" s="35"/>
      <c r="S98" s="35"/>
      <c r="T98" s="35"/>
      <c r="U98" s="35"/>
      <c r="V98" s="35"/>
      <c r="W98" s="35"/>
      <c r="X98" s="35"/>
      <c r="Y98" s="35"/>
      <c r="Z98" s="35"/>
      <c r="AA98" s="35"/>
      <c r="AB98" s="35"/>
      <c r="AC98" s="35"/>
      <c r="AD98" s="35"/>
      <c r="AE98" s="35"/>
      <c r="AF98" s="35"/>
      <c r="AG98" s="35"/>
      <c r="AH98" s="104"/>
      <c r="AI98" s="35"/>
      <c r="AJ98" s="35"/>
      <c r="AK98" s="36"/>
      <c r="AL98" s="36"/>
      <c r="AM98" s="36"/>
      <c r="AN98" s="36"/>
      <c r="AO98" s="36"/>
      <c r="AP98" s="36"/>
      <c r="AQ98" s="36"/>
      <c r="AR98" s="36"/>
      <c r="AS98" s="36"/>
      <c r="AT98" s="36"/>
      <c r="AU98" s="36"/>
      <c r="AV98" s="36"/>
      <c r="AW98" s="36"/>
      <c r="AX98" s="36"/>
      <c r="AY98" s="36"/>
      <c r="AZ98" s="36"/>
      <c r="BA98" s="36"/>
      <c r="BB98" s="36"/>
    </row>
    <row r="99" spans="2:54" s="30" customFormat="1" ht="15.75" x14ac:dyDescent="0.2">
      <c r="B99" s="91" t="str">
        <f>IF(LEFT(B85,6)="Murske","Murske",B85)</f>
        <v>Murske</v>
      </c>
      <c r="C99" s="33"/>
      <c r="D99" s="81"/>
      <c r="G99" s="33"/>
      <c r="H99" s="81"/>
      <c r="I99" s="81"/>
      <c r="J99" s="32"/>
      <c r="K99" s="37" t="s">
        <v>297</v>
      </c>
      <c r="L99" s="37" t="s">
        <v>185</v>
      </c>
      <c r="M99" s="83"/>
      <c r="N99" s="83"/>
      <c r="O99" s="251"/>
      <c r="P99" s="144"/>
      <c r="Q99" s="36"/>
      <c r="R99" s="35" t="s">
        <v>318</v>
      </c>
      <c r="S99" s="35"/>
      <c r="T99" s="35" t="s">
        <v>400</v>
      </c>
      <c r="U99" s="35" t="s">
        <v>399</v>
      </c>
      <c r="V99" s="35" t="s">
        <v>397</v>
      </c>
      <c r="W99" s="35" t="s">
        <v>398</v>
      </c>
      <c r="X99" s="35" t="s">
        <v>401</v>
      </c>
      <c r="Y99" s="35" t="s">
        <v>403</v>
      </c>
      <c r="Z99" s="35" t="s">
        <v>402</v>
      </c>
      <c r="AA99" s="35" t="s">
        <v>186</v>
      </c>
      <c r="AB99" s="35" t="s">
        <v>345</v>
      </c>
      <c r="AC99" s="35" t="s">
        <v>404</v>
      </c>
      <c r="AD99" s="35" t="s">
        <v>346</v>
      </c>
      <c r="AE99" s="35" t="s">
        <v>405</v>
      </c>
      <c r="AF99" s="35" t="s">
        <v>406</v>
      </c>
      <c r="AG99" s="35" t="s">
        <v>578</v>
      </c>
      <c r="AH99" s="104"/>
      <c r="AI99" s="35"/>
      <c r="AJ99" s="35"/>
      <c r="AK99" s="36"/>
      <c r="AL99" s="36"/>
      <c r="AM99" s="36"/>
      <c r="AN99" s="36"/>
      <c r="AO99" s="36"/>
      <c r="AP99" s="36"/>
      <c r="AQ99" s="36"/>
      <c r="AR99" s="36"/>
      <c r="AS99" s="36"/>
      <c r="AT99" s="36"/>
      <c r="AU99" s="36"/>
      <c r="AV99" s="36"/>
      <c r="AW99" s="36"/>
      <c r="AX99" s="36"/>
      <c r="AY99" s="36"/>
      <c r="AZ99" s="36"/>
      <c r="BA99" s="36"/>
      <c r="BB99" s="36"/>
    </row>
    <row r="100" spans="2:54" s="30" customFormat="1" ht="30" x14ac:dyDescent="0.2">
      <c r="B100" s="44" t="s">
        <v>475</v>
      </c>
      <c r="C100" s="171" t="str">
        <f>IF(ISNUMBER(C85),C85,"")</f>
        <v/>
      </c>
      <c r="D100" s="109" t="str">
        <f>D85</f>
        <v>m3rtr</v>
      </c>
      <c r="G100" s="358">
        <f>IF(ISNUMBER(G85),G85,"")</f>
        <v>1.7</v>
      </c>
      <c r="H100" s="81" t="str">
        <f>IF(D100="t","t/t","t/m3")</f>
        <v>t/m3</v>
      </c>
      <c r="I100" s="81"/>
      <c r="J100" s="169" t="s">
        <v>395</v>
      </c>
      <c r="K100" s="92" t="str">
        <f>IFERROR(IF(ISNUMBER(L100),L100,(VLOOKUP(C101,Kalusto!$C$45:$G$84,5,FALSE)*VLOOKUP(C102,Muut!$D$40:$E$43,2,FALSE))),"--")</f>
        <v>--</v>
      </c>
      <c r="L100" s="39"/>
      <c r="M100" s="40" t="s">
        <v>184</v>
      </c>
      <c r="N100" s="40"/>
      <c r="O100" s="250"/>
      <c r="P100" s="145"/>
      <c r="Q100" s="100"/>
      <c r="R100" s="48" t="str">
        <f>IF(AND(NOT(ISNUMBER(AB100)),NOT(ISNUMBER(AG100))),"",IF(ISNUMBER(AB100),AB100,0)+IF(ISNUMBER(AG100),AG100,0))</f>
        <v/>
      </c>
      <c r="S100" s="98" t="s">
        <v>160</v>
      </c>
      <c r="T100" s="46" t="str">
        <f>IFERROR(IF(ISNUMBER(L100),"Kohdetieto",VLOOKUP(C101,Kalusto!$C$45:$L$84,7,FALSE)),"--")</f>
        <v>--</v>
      </c>
      <c r="U100" s="46" t="str">
        <f>IFERROR(IF(ISNUMBER(L100),"Kohdetieto",VLOOKUP(C101,Kalusto!$C$45:$L$84,8,FALSE)),"--")</f>
        <v>--</v>
      </c>
      <c r="V100" s="47" t="str">
        <f>IFERROR(IF(ISNUMBER(L100),"Kohdetieto",VLOOKUP(C101,Kalusto!$C$45:$L$84,9,FALSE)),"--")</f>
        <v>--</v>
      </c>
      <c r="W100" s="47" t="str">
        <f>IFERROR(IF(ISNUMBER(L100),"Kohdetieto",VLOOKUP(C101,Kalusto!$C$45:$L$84,10,FALSE)),"--")</f>
        <v>--</v>
      </c>
      <c r="X100" s="48" t="str">
        <f>IF(ISBLANK(C100),"",IF(D100="t",C100,IF(ISNUMBER(C100*G100),C100*G100,"")))</f>
        <v/>
      </c>
      <c r="Y100" s="46" t="str">
        <f>IF(ISNUMBER(C103),C103,"")</f>
        <v/>
      </c>
      <c r="Z100" s="48" t="str">
        <f>IF(ISNUMBER(X100/(U100*V100)*Y100),X100/(U100*V100)*Y100,"")</f>
        <v/>
      </c>
      <c r="AA100" s="49" t="str">
        <f>IF(ISNUMBER(L100),L100,K100)</f>
        <v>--</v>
      </c>
      <c r="AB100" s="48" t="str">
        <f>IF(ISNUMBER(Y100*X100*K100),Y100*X100*K100,"")</f>
        <v/>
      </c>
      <c r="AC100" s="48" t="str">
        <f>IF(C120="Kyllä",Y100,"")</f>
        <v/>
      </c>
      <c r="AD100" s="48" t="str">
        <f>IF(C120="Kyllä",IF(ISNUMBER(X100/(U100*V100)),X100/(U100*V100),""),"")</f>
        <v/>
      </c>
      <c r="AE100" s="48" t="str">
        <f>IF(ISNUMBER(AD100*AC100),AD100*AC100,"")</f>
        <v/>
      </c>
      <c r="AF100" s="49" t="str">
        <f>IF(ISNUMBER(L101),L101,K101)</f>
        <v>--</v>
      </c>
      <c r="AG100" s="48" t="str">
        <f>IF(ISNUMBER(AC100*AD100*K101),AC100*AD100*K101,"")</f>
        <v/>
      </c>
      <c r="AH100" s="104"/>
      <c r="AI100" s="35"/>
      <c r="AJ100" s="35"/>
      <c r="AK100" s="36"/>
      <c r="AL100" s="36"/>
      <c r="AM100" s="36"/>
      <c r="AN100" s="36"/>
      <c r="AO100" s="36"/>
      <c r="AP100" s="36"/>
      <c r="AQ100" s="36"/>
      <c r="AR100" s="36"/>
      <c r="AS100" s="36"/>
      <c r="AT100" s="36"/>
      <c r="AU100" s="36"/>
      <c r="AV100" s="36"/>
      <c r="AW100" s="36"/>
      <c r="AX100" s="36"/>
      <c r="AY100" s="36"/>
      <c r="AZ100" s="36"/>
      <c r="BA100" s="36"/>
      <c r="BB100" s="36"/>
    </row>
    <row r="101" spans="2:54" s="30" customFormat="1" ht="45" x14ac:dyDescent="0.2">
      <c r="B101" s="166" t="s">
        <v>463</v>
      </c>
      <c r="C101" s="471" t="s">
        <v>298</v>
      </c>
      <c r="D101" s="472"/>
      <c r="E101" s="472"/>
      <c r="F101" s="472"/>
      <c r="G101" s="473"/>
      <c r="H101" s="81"/>
      <c r="I101" s="81"/>
      <c r="J101" s="32" t="s">
        <v>396</v>
      </c>
      <c r="K101" s="92" t="str">
        <f>IFERROR(IF(ISNUMBER(L101),L101,IF($C$120="Ei","",VLOOKUP(C101,Kalusto!$C$45:$U$84,19,FALSE)*VLOOKUP(C102,Muut!$D$40:$E$43,2,FALSE))),"--")</f>
        <v>--</v>
      </c>
      <c r="L101" s="39"/>
      <c r="M101" s="40" t="s">
        <v>188</v>
      </c>
      <c r="N101" s="40"/>
      <c r="O101" s="250"/>
      <c r="P101" s="143"/>
      <c r="Q101" s="101"/>
      <c r="R101" s="35"/>
      <c r="S101" s="35"/>
      <c r="T101" s="35"/>
      <c r="U101" s="35"/>
      <c r="V101" s="35"/>
      <c r="W101" s="35"/>
      <c r="X101" s="35"/>
      <c r="Y101" s="35"/>
      <c r="Z101" s="35"/>
      <c r="AA101" s="35"/>
      <c r="AB101" s="35"/>
      <c r="AC101" s="35"/>
      <c r="AD101" s="35"/>
      <c r="AE101" s="35"/>
      <c r="AF101" s="35"/>
      <c r="AG101" s="35"/>
      <c r="AH101" s="104"/>
      <c r="AI101" s="35"/>
      <c r="AJ101" s="35"/>
      <c r="AK101" s="36"/>
      <c r="AL101" s="36"/>
      <c r="AM101" s="36"/>
      <c r="AN101" s="36"/>
      <c r="AO101" s="36"/>
      <c r="AP101" s="36"/>
      <c r="AQ101" s="36"/>
      <c r="AR101" s="36"/>
      <c r="AS101" s="36"/>
      <c r="AT101" s="36"/>
      <c r="AU101" s="36"/>
      <c r="AV101" s="36"/>
      <c r="AW101" s="36"/>
      <c r="AX101" s="36"/>
      <c r="AY101" s="36"/>
      <c r="AZ101" s="36"/>
      <c r="BA101" s="36"/>
      <c r="BB101" s="36"/>
    </row>
    <row r="102" spans="2:54" s="30" customFormat="1" ht="15" x14ac:dyDescent="0.2">
      <c r="B102" s="182" t="s">
        <v>457</v>
      </c>
      <c r="C102" s="156" t="s">
        <v>309</v>
      </c>
      <c r="D102" s="33"/>
      <c r="E102" s="33"/>
      <c r="F102" s="33"/>
      <c r="G102" s="33"/>
      <c r="H102" s="57"/>
      <c r="J102" s="169"/>
      <c r="K102" s="169"/>
      <c r="L102" s="169"/>
      <c r="M102" s="40"/>
      <c r="N102" s="40"/>
      <c r="O102" s="250"/>
      <c r="Q102" s="45"/>
      <c r="R102" s="98"/>
      <c r="S102" s="98"/>
      <c r="T102" s="35"/>
      <c r="U102" s="35"/>
      <c r="V102" s="177"/>
      <c r="W102" s="177"/>
      <c r="X102" s="59"/>
      <c r="Y102" s="35"/>
      <c r="Z102" s="59"/>
      <c r="AA102" s="178"/>
      <c r="AB102" s="59"/>
      <c r="AC102" s="59"/>
      <c r="AD102" s="59"/>
      <c r="AE102" s="59"/>
      <c r="AF102" s="178"/>
      <c r="AG102" s="59"/>
      <c r="AH102" s="104"/>
      <c r="AI102" s="35"/>
      <c r="AJ102" s="35"/>
      <c r="AK102" s="36"/>
      <c r="AL102" s="36"/>
      <c r="AM102" s="36"/>
      <c r="AN102" s="36"/>
      <c r="AO102" s="36"/>
      <c r="AP102" s="36"/>
      <c r="AQ102" s="36"/>
      <c r="AR102" s="36"/>
      <c r="AS102" s="36"/>
      <c r="AT102" s="36"/>
      <c r="AU102" s="36"/>
      <c r="AV102" s="36"/>
      <c r="AW102" s="36"/>
      <c r="AX102" s="36"/>
      <c r="AY102" s="36"/>
      <c r="AZ102" s="36"/>
      <c r="BA102" s="36"/>
      <c r="BB102" s="36"/>
    </row>
    <row r="103" spans="2:54" s="30" customFormat="1" ht="15" x14ac:dyDescent="0.2">
      <c r="B103" s="44" t="s">
        <v>474</v>
      </c>
      <c r="C103" s="386"/>
      <c r="D103" s="81" t="s">
        <v>5</v>
      </c>
      <c r="G103" s="33"/>
      <c r="H103" s="81"/>
      <c r="I103" s="81"/>
      <c r="J103" s="32"/>
      <c r="K103" s="33"/>
      <c r="L103" s="33"/>
      <c r="M103" s="81"/>
      <c r="N103" s="81"/>
      <c r="O103" s="251"/>
      <c r="P103" s="146"/>
      <c r="Q103" s="101"/>
      <c r="R103" s="35"/>
      <c r="S103" s="35"/>
      <c r="T103" s="35"/>
      <c r="U103" s="35"/>
      <c r="V103" s="35"/>
      <c r="W103" s="35"/>
      <c r="X103" s="35"/>
      <c r="Y103" s="35"/>
      <c r="Z103" s="35"/>
      <c r="AA103" s="35"/>
      <c r="AB103" s="35"/>
      <c r="AC103" s="35"/>
      <c r="AD103" s="35"/>
      <c r="AE103" s="35"/>
      <c r="AF103" s="35"/>
      <c r="AG103" s="35"/>
      <c r="AH103" s="104"/>
      <c r="AI103" s="35"/>
      <c r="AJ103" s="35"/>
      <c r="AK103" s="36"/>
      <c r="AL103" s="36"/>
      <c r="AM103" s="36"/>
      <c r="AN103" s="36"/>
      <c r="AO103" s="36"/>
      <c r="AP103" s="36"/>
      <c r="AQ103" s="36"/>
      <c r="AR103" s="36"/>
      <c r="AS103" s="36"/>
      <c r="AT103" s="36"/>
      <c r="AU103" s="36"/>
      <c r="AV103" s="36"/>
      <c r="AW103" s="36"/>
      <c r="AX103" s="36"/>
      <c r="AY103" s="36"/>
      <c r="AZ103" s="36"/>
      <c r="BA103" s="36"/>
      <c r="BB103" s="36"/>
    </row>
    <row r="104" spans="2:54" s="30" customFormat="1" ht="15.75" x14ac:dyDescent="0.2">
      <c r="B104" s="91" t="str">
        <f>IF(LEFT(B86,4)="Sora","Sora",B86)</f>
        <v>Sora</v>
      </c>
      <c r="C104" s="33"/>
      <c r="D104" s="81"/>
      <c r="G104" s="33"/>
      <c r="H104" s="81"/>
      <c r="I104" s="81"/>
      <c r="J104" s="32"/>
      <c r="K104" s="37" t="s">
        <v>297</v>
      </c>
      <c r="L104" s="37" t="s">
        <v>185</v>
      </c>
      <c r="M104" s="83"/>
      <c r="N104" s="83"/>
      <c r="O104" s="251"/>
      <c r="P104" s="144"/>
      <c r="Q104" s="36"/>
      <c r="R104" s="35" t="s">
        <v>318</v>
      </c>
      <c r="S104" s="35"/>
      <c r="T104" s="35" t="s">
        <v>400</v>
      </c>
      <c r="U104" s="35" t="s">
        <v>399</v>
      </c>
      <c r="V104" s="35" t="s">
        <v>397</v>
      </c>
      <c r="W104" s="35" t="s">
        <v>398</v>
      </c>
      <c r="X104" s="35" t="s">
        <v>401</v>
      </c>
      <c r="Y104" s="35" t="s">
        <v>403</v>
      </c>
      <c r="Z104" s="35" t="s">
        <v>402</v>
      </c>
      <c r="AA104" s="35" t="s">
        <v>186</v>
      </c>
      <c r="AB104" s="35" t="s">
        <v>345</v>
      </c>
      <c r="AC104" s="35" t="s">
        <v>404</v>
      </c>
      <c r="AD104" s="35" t="s">
        <v>346</v>
      </c>
      <c r="AE104" s="35" t="s">
        <v>405</v>
      </c>
      <c r="AF104" s="35" t="s">
        <v>406</v>
      </c>
      <c r="AG104" s="35" t="s">
        <v>578</v>
      </c>
      <c r="AH104" s="104"/>
      <c r="AI104" s="35"/>
      <c r="AJ104" s="35"/>
      <c r="AK104" s="36"/>
      <c r="AL104" s="36"/>
      <c r="AM104" s="36"/>
      <c r="AN104" s="36"/>
      <c r="AO104" s="36"/>
      <c r="AP104" s="36"/>
      <c r="AQ104" s="36"/>
      <c r="AR104" s="36"/>
      <c r="AS104" s="36"/>
      <c r="AT104" s="36"/>
      <c r="AU104" s="36"/>
      <c r="AV104" s="36"/>
      <c r="AW104" s="36"/>
      <c r="AX104" s="36"/>
      <c r="AY104" s="36"/>
      <c r="AZ104" s="36"/>
      <c r="BA104" s="36"/>
      <c r="BB104" s="36"/>
    </row>
    <row r="105" spans="2:54" s="30" customFormat="1" ht="30" x14ac:dyDescent="0.2">
      <c r="B105" s="44" t="s">
        <v>475</v>
      </c>
      <c r="C105" s="171" t="str">
        <f>IF(ISNUMBER(C86),C86,"")</f>
        <v/>
      </c>
      <c r="D105" s="109" t="str">
        <f>D86</f>
        <v>m3rtr</v>
      </c>
      <c r="G105" s="358">
        <f>IF(ISNUMBER(G86),G86,"")</f>
        <v>1.7</v>
      </c>
      <c r="H105" s="81" t="str">
        <f>IF(D105="t","t/t","t/m3")</f>
        <v>t/m3</v>
      </c>
      <c r="I105" s="81"/>
      <c r="J105" s="169" t="s">
        <v>395</v>
      </c>
      <c r="K105" s="92" t="str">
        <f>IFERROR(IF(ISNUMBER(L105),L105,(VLOOKUP(C106,Kalusto!$C$45:$G$84,5,FALSE)*VLOOKUP(C107,Muut!$D$40:$E$43,2,FALSE))),"--")</f>
        <v>--</v>
      </c>
      <c r="L105" s="39"/>
      <c r="M105" s="40" t="s">
        <v>184</v>
      </c>
      <c r="N105" s="40"/>
      <c r="O105" s="250"/>
      <c r="P105" s="145"/>
      <c r="Q105" s="100"/>
      <c r="R105" s="48" t="str">
        <f>IF(AND(NOT(ISNUMBER(AB105)),NOT(ISNUMBER(AG105))),"",IF(ISNUMBER(AB105),AB105,0)+IF(ISNUMBER(AG105),AG105,0))</f>
        <v/>
      </c>
      <c r="S105" s="98" t="s">
        <v>160</v>
      </c>
      <c r="T105" s="46" t="str">
        <f>IFERROR(IF(ISNUMBER(L105),"Kohdetieto",VLOOKUP(C106,Kalusto!$C$45:$L$84,7,FALSE)),"--")</f>
        <v>--</v>
      </c>
      <c r="U105" s="46" t="str">
        <f>IFERROR(IF(ISNUMBER(L105),"Kohdetieto",VLOOKUP(C106,Kalusto!$C$45:$L$84,8,FALSE)),"--")</f>
        <v>--</v>
      </c>
      <c r="V105" s="47" t="str">
        <f>IFERROR(IF(ISNUMBER(L105),"Kohdetieto",VLOOKUP(C106,Kalusto!$C$45:$L$84,9,FALSE)),"--")</f>
        <v>--</v>
      </c>
      <c r="W105" s="47" t="str">
        <f>IFERROR(IF(ISNUMBER(L105),"Kohdetieto",VLOOKUP(C106,Kalusto!$C$45:$L$84,10,FALSE)),"--")</f>
        <v>--</v>
      </c>
      <c r="X105" s="48" t="str">
        <f>IF(ISBLANK(C105),"",IF(D105="t",C105,IF(ISNUMBER(C105*G105),C105*G105,"")))</f>
        <v/>
      </c>
      <c r="Y105" s="46" t="str">
        <f>IF(ISNUMBER(C108),C108,"")</f>
        <v/>
      </c>
      <c r="Z105" s="48" t="str">
        <f>IF(ISNUMBER(X105/(U105*V105)*Y105),X105/(U105*V105)*Y105,"")</f>
        <v/>
      </c>
      <c r="AA105" s="49" t="str">
        <f>IF(ISNUMBER(L105),L105,K105)</f>
        <v>--</v>
      </c>
      <c r="AB105" s="48" t="str">
        <f>IF(ISNUMBER(Y105*X105*K105),Y105*X105*K105,"")</f>
        <v/>
      </c>
      <c r="AC105" s="48" t="str">
        <f>IF(C120="Kyllä",Y105,"")</f>
        <v/>
      </c>
      <c r="AD105" s="48" t="str">
        <f>IF(C120="Kyllä",IF(ISNUMBER(X105/(U105*V105)),X105/(U105*V105),""),"")</f>
        <v/>
      </c>
      <c r="AE105" s="48" t="str">
        <f>IF(ISNUMBER(AD105*AC105),AD105*AC105,"")</f>
        <v/>
      </c>
      <c r="AF105" s="49" t="str">
        <f>IF(ISNUMBER(L106),L106,K106)</f>
        <v>--</v>
      </c>
      <c r="AG105" s="48" t="str">
        <f>IF(ISNUMBER(AC105*AD105*K106),AC105*AD105*K106,"")</f>
        <v/>
      </c>
      <c r="AH105" s="104"/>
      <c r="AI105" s="35"/>
      <c r="AJ105" s="35"/>
      <c r="AK105" s="36"/>
      <c r="AL105" s="36"/>
      <c r="AM105" s="36"/>
      <c r="AN105" s="36"/>
      <c r="AO105" s="36"/>
      <c r="AP105" s="36"/>
      <c r="AQ105" s="36"/>
      <c r="AR105" s="36"/>
      <c r="AS105" s="36"/>
      <c r="AT105" s="36"/>
      <c r="AU105" s="36"/>
      <c r="AV105" s="36"/>
      <c r="AW105" s="36"/>
      <c r="AX105" s="36"/>
      <c r="AY105" s="36"/>
      <c r="AZ105" s="36"/>
      <c r="BA105" s="36"/>
      <c r="BB105" s="36"/>
    </row>
    <row r="106" spans="2:54" s="30" customFormat="1" ht="45" x14ac:dyDescent="0.2">
      <c r="B106" s="166" t="s">
        <v>463</v>
      </c>
      <c r="C106" s="471" t="s">
        <v>298</v>
      </c>
      <c r="D106" s="472"/>
      <c r="E106" s="472"/>
      <c r="F106" s="472"/>
      <c r="G106" s="473"/>
      <c r="H106" s="81"/>
      <c r="I106" s="81"/>
      <c r="J106" s="32" t="s">
        <v>396</v>
      </c>
      <c r="K106" s="92" t="str">
        <f>IFERROR(IF(ISNUMBER(L106),L106,IF($C$120="Ei","",VLOOKUP(C106,Kalusto!$C$45:$U$84,19,FALSE)*VLOOKUP(C107,Muut!$D$40:$E$43,2,FALSE))),"--")</f>
        <v>--</v>
      </c>
      <c r="L106" s="39"/>
      <c r="M106" s="40" t="s">
        <v>188</v>
      </c>
      <c r="N106" s="40"/>
      <c r="O106" s="250"/>
      <c r="P106" s="143"/>
      <c r="Q106" s="101"/>
      <c r="R106" s="35"/>
      <c r="S106" s="35"/>
      <c r="T106" s="35"/>
      <c r="U106" s="35"/>
      <c r="V106" s="35"/>
      <c r="W106" s="35"/>
      <c r="X106" s="35"/>
      <c r="Y106" s="35"/>
      <c r="Z106" s="35"/>
      <c r="AA106" s="35"/>
      <c r="AB106" s="35"/>
      <c r="AC106" s="35"/>
      <c r="AD106" s="35"/>
      <c r="AE106" s="35"/>
      <c r="AF106" s="35"/>
      <c r="AG106" s="35"/>
      <c r="AH106" s="104"/>
      <c r="AI106" s="35"/>
      <c r="AJ106" s="35"/>
      <c r="AK106" s="36"/>
      <c r="AL106" s="36"/>
      <c r="AM106" s="36"/>
      <c r="AN106" s="36"/>
      <c r="AO106" s="36"/>
      <c r="AP106" s="36"/>
      <c r="AQ106" s="36"/>
      <c r="AR106" s="36"/>
      <c r="AS106" s="36"/>
      <c r="AT106" s="36"/>
      <c r="AU106" s="36"/>
      <c r="AV106" s="36"/>
      <c r="AW106" s="36"/>
      <c r="AX106" s="36"/>
      <c r="AY106" s="36"/>
      <c r="AZ106" s="36"/>
      <c r="BA106" s="36"/>
      <c r="BB106" s="36"/>
    </row>
    <row r="107" spans="2:54" s="30" customFormat="1" ht="15" x14ac:dyDescent="0.2">
      <c r="B107" s="182" t="s">
        <v>457</v>
      </c>
      <c r="C107" s="156" t="s">
        <v>309</v>
      </c>
      <c r="D107" s="33"/>
      <c r="E107" s="33"/>
      <c r="F107" s="33"/>
      <c r="G107" s="33"/>
      <c r="H107" s="57"/>
      <c r="J107" s="169"/>
      <c r="K107" s="169"/>
      <c r="L107" s="169"/>
      <c r="M107" s="40"/>
      <c r="N107" s="40"/>
      <c r="O107" s="250"/>
      <c r="Q107" s="45"/>
      <c r="R107" s="98"/>
      <c r="S107" s="98"/>
      <c r="T107" s="35"/>
      <c r="U107" s="35"/>
      <c r="V107" s="177"/>
      <c r="W107" s="177"/>
      <c r="X107" s="59"/>
      <c r="Y107" s="35"/>
      <c r="Z107" s="59"/>
      <c r="AA107" s="178"/>
      <c r="AB107" s="59"/>
      <c r="AC107" s="59"/>
      <c r="AD107" s="59"/>
      <c r="AE107" s="59"/>
      <c r="AF107" s="178"/>
      <c r="AG107" s="59"/>
      <c r="AH107" s="104"/>
      <c r="AI107" s="35"/>
      <c r="AJ107" s="35"/>
      <c r="AK107" s="36"/>
      <c r="AL107" s="36"/>
      <c r="AM107" s="36"/>
      <c r="AN107" s="36"/>
      <c r="AO107" s="36"/>
      <c r="AP107" s="36"/>
      <c r="AQ107" s="36"/>
      <c r="AR107" s="36"/>
      <c r="AS107" s="36"/>
      <c r="AT107" s="36"/>
      <c r="AU107" s="36"/>
      <c r="AV107" s="36"/>
      <c r="AW107" s="36"/>
      <c r="AX107" s="36"/>
      <c r="AY107" s="36"/>
      <c r="AZ107" s="36"/>
      <c r="BA107" s="36"/>
      <c r="BB107" s="36"/>
    </row>
    <row r="108" spans="2:54" s="30" customFormat="1" ht="15" x14ac:dyDescent="0.2">
      <c r="B108" s="44" t="s">
        <v>474</v>
      </c>
      <c r="C108" s="386"/>
      <c r="D108" s="81" t="s">
        <v>5</v>
      </c>
      <c r="G108" s="33"/>
      <c r="H108" s="81"/>
      <c r="I108" s="81"/>
      <c r="J108" s="32"/>
      <c r="K108" s="33"/>
      <c r="L108" s="33"/>
      <c r="M108" s="81"/>
      <c r="N108" s="81"/>
      <c r="O108" s="251"/>
      <c r="P108" s="146"/>
      <c r="Q108" s="101"/>
      <c r="R108" s="35"/>
      <c r="S108" s="35"/>
      <c r="T108" s="35"/>
      <c r="U108" s="35"/>
      <c r="V108" s="35"/>
      <c r="W108" s="35"/>
      <c r="X108" s="35"/>
      <c r="Y108" s="35"/>
      <c r="Z108" s="35"/>
      <c r="AA108" s="35"/>
      <c r="AB108" s="35"/>
      <c r="AC108" s="35"/>
      <c r="AD108" s="35"/>
      <c r="AE108" s="35"/>
      <c r="AF108" s="35"/>
      <c r="AG108" s="35"/>
      <c r="AH108" s="104"/>
      <c r="AI108" s="35"/>
      <c r="AJ108" s="35"/>
      <c r="AK108" s="36"/>
      <c r="AL108" s="36"/>
      <c r="AM108" s="36"/>
      <c r="AN108" s="36"/>
      <c r="AO108" s="36"/>
      <c r="AP108" s="36"/>
      <c r="AQ108" s="36"/>
      <c r="AR108" s="36"/>
      <c r="AS108" s="36"/>
      <c r="AT108" s="36"/>
      <c r="AU108" s="36"/>
      <c r="AV108" s="36"/>
      <c r="AW108" s="36"/>
      <c r="AX108" s="36"/>
      <c r="AY108" s="36"/>
      <c r="AZ108" s="36"/>
      <c r="BA108" s="36"/>
      <c r="BB108" s="36"/>
    </row>
    <row r="109" spans="2:54" s="30" customFormat="1" ht="15.75" x14ac:dyDescent="0.2">
      <c r="B109" s="91" t="str">
        <f>IF(LEFT(B87,6)="Hiekka","Hiekka",B87)</f>
        <v>Hiekka</v>
      </c>
      <c r="C109" s="33"/>
      <c r="D109" s="81"/>
      <c r="G109" s="33"/>
      <c r="H109" s="81"/>
      <c r="I109" s="81"/>
      <c r="J109" s="32"/>
      <c r="K109" s="37" t="s">
        <v>297</v>
      </c>
      <c r="L109" s="37" t="s">
        <v>185</v>
      </c>
      <c r="M109" s="83"/>
      <c r="N109" s="83"/>
      <c r="O109" s="251"/>
      <c r="P109" s="144"/>
      <c r="Q109" s="36"/>
      <c r="R109" s="35" t="s">
        <v>318</v>
      </c>
      <c r="S109" s="35"/>
      <c r="T109" s="35" t="s">
        <v>400</v>
      </c>
      <c r="U109" s="35" t="s">
        <v>399</v>
      </c>
      <c r="V109" s="35" t="s">
        <v>397</v>
      </c>
      <c r="W109" s="35" t="s">
        <v>398</v>
      </c>
      <c r="X109" s="35" t="s">
        <v>401</v>
      </c>
      <c r="Y109" s="35" t="s">
        <v>403</v>
      </c>
      <c r="Z109" s="35" t="s">
        <v>402</v>
      </c>
      <c r="AA109" s="35" t="s">
        <v>186</v>
      </c>
      <c r="AB109" s="35" t="s">
        <v>345</v>
      </c>
      <c r="AC109" s="35" t="s">
        <v>404</v>
      </c>
      <c r="AD109" s="35" t="s">
        <v>346</v>
      </c>
      <c r="AE109" s="35" t="s">
        <v>405</v>
      </c>
      <c r="AF109" s="35" t="s">
        <v>406</v>
      </c>
      <c r="AG109" s="35" t="s">
        <v>578</v>
      </c>
      <c r="AH109" s="104"/>
      <c r="AI109" s="35"/>
      <c r="AJ109" s="35"/>
      <c r="AK109" s="36"/>
      <c r="AL109" s="36"/>
      <c r="AM109" s="36"/>
      <c r="AN109" s="36"/>
      <c r="AO109" s="36"/>
      <c r="AP109" s="36"/>
      <c r="AQ109" s="36"/>
      <c r="AR109" s="36"/>
      <c r="AS109" s="36"/>
      <c r="AT109" s="36"/>
      <c r="AU109" s="36"/>
      <c r="AV109" s="36"/>
      <c r="AW109" s="36"/>
      <c r="AX109" s="36"/>
      <c r="AY109" s="36"/>
      <c r="AZ109" s="36"/>
      <c r="BA109" s="36"/>
      <c r="BB109" s="36"/>
    </row>
    <row r="110" spans="2:54" s="30" customFormat="1" ht="30" x14ac:dyDescent="0.2">
      <c r="B110" s="44" t="s">
        <v>475</v>
      </c>
      <c r="C110" s="171" t="str">
        <f>IF(ISNUMBER(C87),C87,"")</f>
        <v/>
      </c>
      <c r="D110" s="109" t="str">
        <f>D87</f>
        <v>m3rtr</v>
      </c>
      <c r="G110" s="358">
        <f>IF(ISNUMBER(G87),G87,"")</f>
        <v>1.4</v>
      </c>
      <c r="H110" s="81" t="str">
        <f>IF(D110="t","t/t","t/m3")</f>
        <v>t/m3</v>
      </c>
      <c r="I110" s="81"/>
      <c r="J110" s="169" t="s">
        <v>395</v>
      </c>
      <c r="K110" s="92" t="str">
        <f>IFERROR(IF(ISNUMBER(L110),L110,(VLOOKUP(C111,Kalusto!$C$45:$G$84,5,FALSE)*VLOOKUP(C112,Muut!$D$40:$E$43,2,FALSE))),"--")</f>
        <v>--</v>
      </c>
      <c r="L110" s="39"/>
      <c r="M110" s="40" t="s">
        <v>184</v>
      </c>
      <c r="N110" s="40"/>
      <c r="O110" s="250"/>
      <c r="P110" s="145"/>
      <c r="Q110" s="100"/>
      <c r="R110" s="48" t="str">
        <f>IF(AND(NOT(ISNUMBER(AB110)),NOT(ISNUMBER(AG110))),"",IF(ISNUMBER(AB110),AB110,0)+IF(ISNUMBER(AG110),AG110,0))</f>
        <v/>
      </c>
      <c r="S110" s="98" t="s">
        <v>160</v>
      </c>
      <c r="T110" s="46" t="str">
        <f>IFERROR(IF(ISNUMBER(L110),"Kohdetieto",VLOOKUP(C111,Kalusto!$C$45:$L$84,7,FALSE)),"--")</f>
        <v>--</v>
      </c>
      <c r="U110" s="46" t="str">
        <f>IFERROR(IF(ISNUMBER(L110),"Kohdetieto",VLOOKUP(C111,Kalusto!$C$45:$L$84,8,FALSE)),"--")</f>
        <v>--</v>
      </c>
      <c r="V110" s="47" t="str">
        <f>IFERROR(IF(ISNUMBER(L110),"Kohdetieto",VLOOKUP(C111,Kalusto!$C$45:$L$84,9,FALSE)),"--")</f>
        <v>--</v>
      </c>
      <c r="W110" s="47" t="str">
        <f>IFERROR(IF(ISNUMBER(L110),"Kohdetieto",VLOOKUP(C111,Kalusto!$C$45:$L$84,10,FALSE)),"--")</f>
        <v>--</v>
      </c>
      <c r="X110" s="48" t="str">
        <f>IF(ISBLANK(C110),"",IF(D110="t",C110,IF(ISNUMBER(C110*G110),C110*G110,"")))</f>
        <v/>
      </c>
      <c r="Y110" s="46" t="str">
        <f>IF(ISNUMBER(C113),C113,"")</f>
        <v/>
      </c>
      <c r="Z110" s="48" t="str">
        <f>IF(ISNUMBER(X110/(U110*V110)*Y110),X110/(U110*V110)*Y110,"")</f>
        <v/>
      </c>
      <c r="AA110" s="49" t="str">
        <f>IF(ISNUMBER(L110),L110,K110)</f>
        <v>--</v>
      </c>
      <c r="AB110" s="48" t="str">
        <f>IF(ISNUMBER(Y110*X110*K110),Y110*X110*K110,"")</f>
        <v/>
      </c>
      <c r="AC110" s="48" t="str">
        <f>IF(C120="Kyllä",Y110,"")</f>
        <v/>
      </c>
      <c r="AD110" s="48" t="str">
        <f>IF(C120="Kyllä",IF(ISNUMBER(X110/(U110*V110)),X110/(U110*V110),""),"")</f>
        <v/>
      </c>
      <c r="AE110" s="48" t="str">
        <f>IF(ISNUMBER(AD110*AC110),AD110*AC110,"")</f>
        <v/>
      </c>
      <c r="AF110" s="49" t="str">
        <f>IF(ISNUMBER(L111),L111,K111)</f>
        <v>--</v>
      </c>
      <c r="AG110" s="48" t="str">
        <f>IF(ISNUMBER(AC110*AD110*K111),AC110*AD110*K111,"")</f>
        <v/>
      </c>
      <c r="AH110" s="104"/>
      <c r="AI110" s="35"/>
      <c r="AJ110" s="35"/>
      <c r="AK110" s="36"/>
      <c r="AL110" s="36"/>
      <c r="AM110" s="36"/>
      <c r="AN110" s="36"/>
      <c r="AO110" s="36"/>
      <c r="AP110" s="36"/>
      <c r="AQ110" s="36"/>
      <c r="AR110" s="36"/>
      <c r="AS110" s="36"/>
      <c r="AT110" s="36"/>
      <c r="AU110" s="36"/>
      <c r="AV110" s="36"/>
      <c r="AW110" s="36"/>
      <c r="AX110" s="36"/>
      <c r="AY110" s="36"/>
      <c r="AZ110" s="36"/>
      <c r="BA110" s="36"/>
      <c r="BB110" s="36"/>
    </row>
    <row r="111" spans="2:54" s="30" customFormat="1" ht="45" x14ac:dyDescent="0.2">
      <c r="B111" s="166" t="s">
        <v>463</v>
      </c>
      <c r="C111" s="471" t="s">
        <v>298</v>
      </c>
      <c r="D111" s="472"/>
      <c r="E111" s="472"/>
      <c r="F111" s="472"/>
      <c r="G111" s="473"/>
      <c r="H111" s="81"/>
      <c r="I111" s="81"/>
      <c r="J111" s="32" t="s">
        <v>396</v>
      </c>
      <c r="K111" s="92" t="str">
        <f>IFERROR(IF(ISNUMBER(L111),L111,IF($C$120="Ei","",VLOOKUP(C111,Kalusto!$C$45:$U$84,19,FALSE)*VLOOKUP(C112,Muut!$D$40:$E$43,2,FALSE))),"--")</f>
        <v>--</v>
      </c>
      <c r="L111" s="39"/>
      <c r="M111" s="40" t="s">
        <v>188</v>
      </c>
      <c r="N111" s="40"/>
      <c r="O111" s="250"/>
      <c r="P111" s="143"/>
      <c r="Q111" s="101"/>
      <c r="R111" s="35"/>
      <c r="S111" s="35"/>
      <c r="T111" s="35"/>
      <c r="U111" s="35"/>
      <c r="V111" s="35"/>
      <c r="W111" s="35"/>
      <c r="X111" s="35"/>
      <c r="Y111" s="35"/>
      <c r="Z111" s="35"/>
      <c r="AA111" s="35"/>
      <c r="AB111" s="35"/>
      <c r="AC111" s="35"/>
      <c r="AD111" s="35"/>
      <c r="AE111" s="35"/>
      <c r="AF111" s="35"/>
      <c r="AG111" s="35"/>
      <c r="AH111" s="104"/>
      <c r="AI111" s="35"/>
      <c r="AJ111" s="35"/>
      <c r="AK111" s="36"/>
      <c r="AL111" s="36"/>
      <c r="AM111" s="36"/>
      <c r="AN111" s="36"/>
      <c r="AO111" s="36"/>
      <c r="AP111" s="36"/>
      <c r="AQ111" s="36"/>
      <c r="AR111" s="36"/>
      <c r="AS111" s="36"/>
      <c r="AT111" s="36"/>
      <c r="AU111" s="36"/>
      <c r="AV111" s="36"/>
      <c r="AW111" s="36"/>
      <c r="AX111" s="36"/>
      <c r="AY111" s="36"/>
      <c r="AZ111" s="36"/>
      <c r="BA111" s="36"/>
      <c r="BB111" s="36"/>
    </row>
    <row r="112" spans="2:54" s="30" customFormat="1" ht="15" x14ac:dyDescent="0.2">
      <c r="B112" s="182" t="s">
        <v>457</v>
      </c>
      <c r="C112" s="156" t="s">
        <v>309</v>
      </c>
      <c r="D112" s="33"/>
      <c r="E112" s="33"/>
      <c r="F112" s="33"/>
      <c r="G112" s="33"/>
      <c r="H112" s="57"/>
      <c r="J112" s="169"/>
      <c r="K112" s="169"/>
      <c r="L112" s="169"/>
      <c r="M112" s="40"/>
      <c r="N112" s="40"/>
      <c r="O112" s="250"/>
      <c r="Q112" s="45"/>
      <c r="R112" s="98"/>
      <c r="S112" s="98"/>
      <c r="T112" s="35"/>
      <c r="U112" s="35"/>
      <c r="V112" s="177"/>
      <c r="W112" s="177"/>
      <c r="X112" s="59"/>
      <c r="Y112" s="35"/>
      <c r="Z112" s="59"/>
      <c r="AA112" s="178"/>
      <c r="AB112" s="59"/>
      <c r="AC112" s="59"/>
      <c r="AD112" s="59"/>
      <c r="AE112" s="59"/>
      <c r="AF112" s="178"/>
      <c r="AG112" s="59"/>
      <c r="AH112" s="104"/>
      <c r="AI112" s="35"/>
      <c r="AJ112" s="35"/>
      <c r="AK112" s="36"/>
      <c r="AL112" s="36"/>
      <c r="AM112" s="36"/>
      <c r="AN112" s="36"/>
      <c r="AO112" s="36"/>
      <c r="AP112" s="36"/>
      <c r="AQ112" s="36"/>
      <c r="AR112" s="36"/>
      <c r="AS112" s="36"/>
      <c r="AT112" s="36"/>
      <c r="AU112" s="36"/>
      <c r="AV112" s="36"/>
      <c r="AW112" s="36"/>
      <c r="AX112" s="36"/>
      <c r="AY112" s="36"/>
      <c r="AZ112" s="36"/>
      <c r="BA112" s="36"/>
      <c r="BB112" s="36"/>
    </row>
    <row r="113" spans="1:56" s="30" customFormat="1" ht="15" x14ac:dyDescent="0.2">
      <c r="B113" s="44" t="s">
        <v>474</v>
      </c>
      <c r="C113" s="386"/>
      <c r="D113" s="81" t="s">
        <v>5</v>
      </c>
      <c r="G113" s="33"/>
      <c r="H113" s="81"/>
      <c r="I113" s="81"/>
      <c r="J113" s="32"/>
      <c r="K113" s="33"/>
      <c r="L113" s="33"/>
      <c r="M113" s="81"/>
      <c r="N113" s="81"/>
      <c r="O113" s="251"/>
      <c r="P113" s="146"/>
      <c r="Q113" s="101"/>
      <c r="R113" s="35"/>
      <c r="S113" s="35"/>
      <c r="T113" s="35"/>
      <c r="U113" s="35"/>
      <c r="V113" s="35"/>
      <c r="W113" s="35"/>
      <c r="X113" s="35"/>
      <c r="Y113" s="35"/>
      <c r="Z113" s="35"/>
      <c r="AA113" s="35"/>
      <c r="AB113" s="35"/>
      <c r="AC113" s="35"/>
      <c r="AD113" s="35"/>
      <c r="AE113" s="35"/>
      <c r="AF113" s="35"/>
      <c r="AG113" s="35"/>
      <c r="AH113" s="104"/>
      <c r="AI113" s="35"/>
      <c r="AJ113" s="35"/>
      <c r="AK113" s="36"/>
      <c r="AL113" s="36"/>
      <c r="AM113" s="36"/>
      <c r="AN113" s="36"/>
      <c r="AO113" s="36"/>
      <c r="AP113" s="36"/>
      <c r="AQ113" s="36"/>
      <c r="AR113" s="36"/>
      <c r="AS113" s="36"/>
      <c r="AT113" s="36"/>
      <c r="AU113" s="36"/>
      <c r="AV113" s="36"/>
      <c r="AW113" s="36"/>
      <c r="AX113" s="36"/>
      <c r="AY113" s="36"/>
      <c r="AZ113" s="36"/>
      <c r="BA113" s="36"/>
      <c r="BB113" s="36"/>
    </row>
    <row r="114" spans="1:56" s="30" customFormat="1" ht="15.75" x14ac:dyDescent="0.2">
      <c r="B114" s="91" t="str">
        <f>B88</f>
        <v>Maa-aineksen 5 kuvaus (valitse yksikkö ja mahdollinen muuntokerroin tonneiksi)</v>
      </c>
      <c r="C114" s="33"/>
      <c r="D114" s="81"/>
      <c r="G114" s="33"/>
      <c r="H114" s="81"/>
      <c r="I114" s="81"/>
      <c r="J114" s="32"/>
      <c r="K114" s="37" t="s">
        <v>297</v>
      </c>
      <c r="L114" s="37" t="s">
        <v>185</v>
      </c>
      <c r="M114" s="83"/>
      <c r="N114" s="83"/>
      <c r="O114" s="251"/>
      <c r="P114" s="144"/>
      <c r="Q114" s="36"/>
      <c r="R114" s="35" t="s">
        <v>318</v>
      </c>
      <c r="S114" s="35"/>
      <c r="T114" s="35" t="s">
        <v>400</v>
      </c>
      <c r="U114" s="35" t="s">
        <v>399</v>
      </c>
      <c r="V114" s="35" t="s">
        <v>397</v>
      </c>
      <c r="W114" s="35" t="s">
        <v>398</v>
      </c>
      <c r="X114" s="35" t="s">
        <v>401</v>
      </c>
      <c r="Y114" s="35" t="s">
        <v>403</v>
      </c>
      <c r="Z114" s="35" t="s">
        <v>402</v>
      </c>
      <c r="AA114" s="35" t="s">
        <v>186</v>
      </c>
      <c r="AB114" s="35" t="s">
        <v>345</v>
      </c>
      <c r="AC114" s="35" t="s">
        <v>404</v>
      </c>
      <c r="AD114" s="35" t="s">
        <v>346</v>
      </c>
      <c r="AE114" s="35" t="s">
        <v>405</v>
      </c>
      <c r="AF114" s="35" t="s">
        <v>406</v>
      </c>
      <c r="AG114" s="35" t="s">
        <v>578</v>
      </c>
      <c r="AH114" s="104"/>
      <c r="AI114" s="35"/>
      <c r="AJ114" s="35"/>
      <c r="AK114" s="36"/>
      <c r="AL114" s="36"/>
      <c r="AM114" s="36"/>
      <c r="AN114" s="36"/>
      <c r="AO114" s="36"/>
      <c r="AP114" s="36"/>
      <c r="AQ114" s="36"/>
      <c r="AR114" s="36"/>
      <c r="AS114" s="36"/>
      <c r="AT114" s="36"/>
      <c r="AU114" s="36"/>
      <c r="AV114" s="36"/>
      <c r="AW114" s="36"/>
      <c r="AX114" s="36"/>
      <c r="AY114" s="36"/>
      <c r="AZ114" s="36"/>
      <c r="BA114" s="36"/>
      <c r="BB114" s="36"/>
    </row>
    <row r="115" spans="1:56" s="30" customFormat="1" ht="30" x14ac:dyDescent="0.2">
      <c r="B115" s="44" t="s">
        <v>477</v>
      </c>
      <c r="C115" s="171" t="str">
        <f>IF(ISNUMBER(C88),C88,"")</f>
        <v/>
      </c>
      <c r="D115" s="109" t="str">
        <f>D88</f>
        <v>m3rtr</v>
      </c>
      <c r="G115" s="358" t="str">
        <f>IF(ISNUMBER(G88),G88,"")</f>
        <v/>
      </c>
      <c r="H115" s="81" t="str">
        <f>IF(D115="t","t/t","t/m3")</f>
        <v>t/m3</v>
      </c>
      <c r="I115" s="81"/>
      <c r="J115" s="169" t="s">
        <v>395</v>
      </c>
      <c r="K115" s="92" t="str">
        <f>IFERROR(IF(ISNUMBER(L115),L115,(VLOOKUP(C116,Kalusto!$C$45:$G$84,5,FALSE)*VLOOKUP(C117,Muut!$D$40:$E$43,2,FALSE))),"--")</f>
        <v>--</v>
      </c>
      <c r="L115" s="39"/>
      <c r="M115" s="40" t="s">
        <v>184</v>
      </c>
      <c r="N115" s="40"/>
      <c r="O115" s="250"/>
      <c r="P115" s="145"/>
      <c r="Q115" s="100"/>
      <c r="R115" s="48" t="str">
        <f>IF(AND(NOT(ISNUMBER(AB115)),NOT(ISNUMBER(AG115))),"",IF(ISNUMBER(AB115),AB115,0)+IF(ISNUMBER(AG115),AG115,0))</f>
        <v/>
      </c>
      <c r="S115" s="98" t="s">
        <v>160</v>
      </c>
      <c r="T115" s="46" t="str">
        <f>IFERROR(IF(ISNUMBER(L115),"Kohdetieto",VLOOKUP(C116,Kalusto!$C$45:$L$84,7,FALSE)),"--")</f>
        <v>--</v>
      </c>
      <c r="U115" s="46" t="str">
        <f>IFERROR(IF(ISNUMBER(L115),"Kohdetieto",VLOOKUP(C116,Kalusto!$C$45:$L$84,8,FALSE)),"--")</f>
        <v>--</v>
      </c>
      <c r="V115" s="47" t="str">
        <f>IFERROR(IF(ISNUMBER(L115),"Kohdetieto",VLOOKUP(C116,Kalusto!$C$45:$L$84,9,FALSE)),"--")</f>
        <v>--</v>
      </c>
      <c r="W115" s="47" t="str">
        <f>IFERROR(IF(ISNUMBER(L115),"Kohdetieto",VLOOKUP(C116,Kalusto!$C$45:$L$84,10,FALSE)),"--")</f>
        <v>--</v>
      </c>
      <c r="X115" s="48" t="str">
        <f>IF(ISBLANK(C115),"",IF(D115="t",C115,IF(ISNUMBER(C115*G115),C115*G115,"")))</f>
        <v/>
      </c>
      <c r="Y115" s="46" t="str">
        <f>IF(ISNUMBER(C118),C118,"")</f>
        <v/>
      </c>
      <c r="Z115" s="48" t="str">
        <f>IF(ISNUMBER(X115/(U115*V115)*Y115),X115/(U115*V115)*Y115,"")</f>
        <v/>
      </c>
      <c r="AA115" s="49" t="str">
        <f>IF(ISNUMBER(L115),L115,K115)</f>
        <v>--</v>
      </c>
      <c r="AB115" s="48" t="str">
        <f>IF(ISNUMBER(Y115*X115*K115),Y115*X115*K115,"")</f>
        <v/>
      </c>
      <c r="AC115" s="48" t="str">
        <f>IF(C120="Kyllä",Y115,"")</f>
        <v/>
      </c>
      <c r="AD115" s="48" t="str">
        <f>IF(C120="Kyllä",IF(ISNUMBER(X115/(U115*V115)),X115/(U115*V115),""),"")</f>
        <v/>
      </c>
      <c r="AE115" s="48" t="str">
        <f>IF(ISNUMBER(AD115*AC115),AD115*AC115,"")</f>
        <v/>
      </c>
      <c r="AF115" s="49" t="str">
        <f>IF(ISNUMBER(L116),L116,K116)</f>
        <v>--</v>
      </c>
      <c r="AG115" s="48" t="str">
        <f>IF(ISNUMBER(AC115*AD115*K116),AC115*AD115*K116,"")</f>
        <v/>
      </c>
      <c r="AH115" s="104"/>
      <c r="AI115" s="35"/>
      <c r="AJ115" s="35"/>
      <c r="AK115" s="36"/>
      <c r="AL115" s="36"/>
      <c r="AM115" s="36"/>
      <c r="AN115" s="36"/>
      <c r="AO115" s="36"/>
      <c r="AP115" s="36"/>
      <c r="AQ115" s="36"/>
      <c r="AR115" s="36"/>
      <c r="AS115" s="36"/>
      <c r="AT115" s="36"/>
      <c r="AU115" s="36"/>
      <c r="AV115" s="36"/>
      <c r="AW115" s="36"/>
      <c r="AX115" s="36"/>
      <c r="AY115" s="36"/>
      <c r="AZ115" s="36"/>
      <c r="BA115" s="36"/>
      <c r="BB115" s="36"/>
    </row>
    <row r="116" spans="1:56" s="30" customFormat="1" ht="45" x14ac:dyDescent="0.2">
      <c r="B116" s="166" t="s">
        <v>463</v>
      </c>
      <c r="C116" s="471" t="s">
        <v>298</v>
      </c>
      <c r="D116" s="472"/>
      <c r="E116" s="472"/>
      <c r="F116" s="472"/>
      <c r="G116" s="473"/>
      <c r="H116" s="81"/>
      <c r="I116" s="81"/>
      <c r="J116" s="32" t="s">
        <v>396</v>
      </c>
      <c r="K116" s="92" t="str">
        <f>IFERROR(IF(ISNUMBER(L116),L116,IF($C$120="Ei","",VLOOKUP(C116,Kalusto!$C$45:$U$84,19,FALSE)*VLOOKUP(C117,Muut!$D$40:$E$43,2,FALSE))),"--")</f>
        <v>--</v>
      </c>
      <c r="L116" s="39"/>
      <c r="M116" s="40" t="s">
        <v>188</v>
      </c>
      <c r="N116" s="40"/>
      <c r="O116" s="250"/>
      <c r="P116" s="143"/>
      <c r="Q116" s="101"/>
      <c r="R116" s="95"/>
      <c r="S116" s="35"/>
      <c r="T116" s="35"/>
      <c r="U116" s="35"/>
      <c r="V116" s="35"/>
      <c r="W116" s="35"/>
      <c r="X116" s="35"/>
      <c r="Y116" s="35"/>
      <c r="Z116" s="35"/>
      <c r="AA116" s="35"/>
      <c r="AB116" s="35"/>
      <c r="AC116" s="35"/>
      <c r="AD116" s="35"/>
      <c r="AE116" s="35"/>
      <c r="AF116" s="35"/>
      <c r="AG116" s="35"/>
      <c r="AH116" s="35"/>
      <c r="AI116" s="35"/>
      <c r="AJ116" s="35"/>
      <c r="AK116" s="36"/>
      <c r="AL116" s="36"/>
      <c r="AM116" s="36"/>
      <c r="AN116" s="36"/>
      <c r="AO116" s="36"/>
      <c r="AP116" s="36"/>
      <c r="AQ116" s="36"/>
      <c r="AR116" s="36"/>
      <c r="AS116" s="36"/>
      <c r="AT116" s="36"/>
      <c r="AU116" s="36"/>
      <c r="AV116" s="36"/>
      <c r="AW116" s="36"/>
      <c r="AX116" s="36"/>
      <c r="AY116" s="36"/>
      <c r="AZ116" s="36"/>
      <c r="BA116" s="36"/>
      <c r="BB116" s="36"/>
    </row>
    <row r="117" spans="1:56" s="30" customFormat="1" ht="15" x14ac:dyDescent="0.2">
      <c r="B117" s="182" t="s">
        <v>457</v>
      </c>
      <c r="C117" s="156" t="s">
        <v>309</v>
      </c>
      <c r="D117" s="33"/>
      <c r="E117" s="33"/>
      <c r="F117" s="33"/>
      <c r="G117" s="33"/>
      <c r="H117" s="57"/>
      <c r="J117" s="169"/>
      <c r="K117" s="169"/>
      <c r="L117" s="169"/>
      <c r="M117" s="40"/>
      <c r="N117" s="40"/>
      <c r="O117" s="250"/>
      <c r="Q117" s="45"/>
      <c r="R117" s="98"/>
      <c r="S117" s="98"/>
      <c r="T117" s="35"/>
      <c r="U117" s="35"/>
      <c r="V117" s="177"/>
      <c r="W117" s="177"/>
      <c r="X117" s="59"/>
      <c r="Y117" s="35"/>
      <c r="Z117" s="59"/>
      <c r="AA117" s="178"/>
      <c r="AB117" s="59"/>
      <c r="AC117" s="59"/>
      <c r="AD117" s="59"/>
      <c r="AE117" s="59"/>
      <c r="AF117" s="178"/>
      <c r="AG117" s="59"/>
      <c r="AH117" s="104"/>
      <c r="AI117" s="35"/>
      <c r="AJ117" s="35"/>
      <c r="AK117" s="36"/>
      <c r="AL117" s="36"/>
      <c r="AM117" s="36"/>
      <c r="AN117" s="36"/>
      <c r="AO117" s="36"/>
      <c r="AP117" s="36"/>
      <c r="AQ117" s="36"/>
      <c r="AR117" s="36"/>
      <c r="AS117" s="36"/>
      <c r="AT117" s="36"/>
      <c r="AU117" s="36"/>
      <c r="AV117" s="36"/>
      <c r="AW117" s="36"/>
      <c r="AX117" s="36"/>
      <c r="AY117" s="36"/>
      <c r="AZ117" s="36"/>
      <c r="BA117" s="36"/>
      <c r="BB117" s="36"/>
    </row>
    <row r="118" spans="1:56" s="30" customFormat="1" ht="15" x14ac:dyDescent="0.2">
      <c r="B118" s="44" t="s">
        <v>474</v>
      </c>
      <c r="C118" s="386"/>
      <c r="D118" s="81" t="s">
        <v>5</v>
      </c>
      <c r="G118" s="33"/>
      <c r="H118" s="81"/>
      <c r="I118" s="81"/>
      <c r="J118" s="32"/>
      <c r="K118" s="33"/>
      <c r="L118" s="33"/>
      <c r="M118" s="81"/>
      <c r="N118" s="81"/>
      <c r="O118" s="251"/>
      <c r="P118" s="146"/>
      <c r="Q118" s="101"/>
      <c r="R118" s="95"/>
      <c r="S118" s="35"/>
      <c r="T118" s="35"/>
      <c r="U118" s="35"/>
      <c r="V118" s="35"/>
      <c r="W118" s="35"/>
      <c r="X118" s="35"/>
      <c r="Y118" s="35"/>
      <c r="Z118" s="35"/>
      <c r="AA118" s="35"/>
      <c r="AB118" s="35"/>
      <c r="AC118" s="35"/>
      <c r="AD118" s="35"/>
      <c r="AE118" s="35"/>
      <c r="AF118" s="35"/>
      <c r="AG118" s="35"/>
      <c r="AH118" s="35"/>
      <c r="AI118" s="35"/>
      <c r="AJ118" s="35"/>
      <c r="AK118" s="36"/>
      <c r="AL118" s="36"/>
      <c r="AM118" s="36"/>
      <c r="AN118" s="36"/>
      <c r="AO118" s="36"/>
      <c r="AP118" s="36"/>
      <c r="AQ118" s="36"/>
      <c r="AR118" s="36"/>
      <c r="AS118" s="36"/>
      <c r="AT118" s="36"/>
      <c r="AU118" s="36"/>
      <c r="AV118" s="36"/>
      <c r="AW118" s="36"/>
      <c r="AX118" s="36"/>
      <c r="AY118" s="36"/>
      <c r="AZ118" s="36"/>
      <c r="BA118" s="36"/>
      <c r="BB118" s="36"/>
    </row>
    <row r="119" spans="1:56" s="30" customFormat="1" ht="15" x14ac:dyDescent="0.2">
      <c r="C119" s="33"/>
      <c r="D119" s="81"/>
      <c r="G119" s="33"/>
      <c r="H119" s="81"/>
      <c r="I119" s="81"/>
      <c r="J119" s="32"/>
      <c r="K119" s="33"/>
      <c r="L119" s="33"/>
      <c r="M119" s="81"/>
      <c r="N119" s="81"/>
      <c r="O119" s="251"/>
      <c r="P119" s="67"/>
      <c r="Q119" s="36"/>
      <c r="R119" s="95"/>
      <c r="S119" s="35"/>
      <c r="T119" s="35"/>
      <c r="U119" s="35"/>
      <c r="V119" s="35"/>
      <c r="W119" s="35"/>
      <c r="X119" s="35"/>
      <c r="Y119" s="35"/>
      <c r="Z119" s="35"/>
      <c r="AA119" s="35"/>
      <c r="AB119" s="35"/>
      <c r="AC119" s="35"/>
      <c r="AD119" s="35"/>
      <c r="AE119" s="35"/>
      <c r="AF119" s="35"/>
      <c r="AG119" s="35"/>
      <c r="AH119" s="35"/>
      <c r="AI119" s="35"/>
      <c r="AJ119" s="35"/>
      <c r="AK119" s="36"/>
      <c r="AL119" s="36"/>
      <c r="AM119" s="36"/>
      <c r="AN119" s="36"/>
      <c r="AO119" s="36"/>
      <c r="AP119" s="36"/>
      <c r="AQ119" s="36"/>
      <c r="AR119" s="36"/>
      <c r="AS119" s="36"/>
      <c r="AT119" s="36"/>
      <c r="AU119" s="36"/>
      <c r="AV119" s="36"/>
      <c r="AW119" s="36"/>
      <c r="AX119" s="36"/>
      <c r="AY119" s="36"/>
      <c r="AZ119" s="36"/>
      <c r="BA119" s="36"/>
      <c r="BB119" s="36"/>
    </row>
    <row r="120" spans="1:56" s="30" customFormat="1" ht="45" x14ac:dyDescent="0.2">
      <c r="B120" s="76" t="s">
        <v>606</v>
      </c>
      <c r="C120" s="471" t="s">
        <v>6</v>
      </c>
      <c r="D120" s="473"/>
      <c r="G120" s="33"/>
      <c r="H120" s="81"/>
      <c r="J120" s="32"/>
      <c r="K120" s="33"/>
      <c r="L120" s="33"/>
      <c r="M120" s="81"/>
      <c r="N120" s="81"/>
      <c r="O120" s="251"/>
      <c r="P120" s="67"/>
      <c r="Q120" s="36"/>
      <c r="R120" s="95"/>
      <c r="S120" s="35"/>
      <c r="T120" s="35"/>
      <c r="U120" s="35"/>
      <c r="V120" s="35"/>
      <c r="W120" s="35"/>
      <c r="X120" s="35"/>
      <c r="Y120" s="35"/>
      <c r="Z120" s="35"/>
      <c r="AA120" s="35"/>
      <c r="AB120" s="35"/>
      <c r="AC120" s="35"/>
      <c r="AD120" s="35"/>
      <c r="AE120" s="35"/>
      <c r="AF120" s="35"/>
      <c r="AG120" s="35"/>
      <c r="AH120" s="35"/>
      <c r="AI120" s="35"/>
      <c r="AJ120" s="35"/>
      <c r="AK120" s="36"/>
      <c r="AL120" s="36"/>
      <c r="AM120" s="36"/>
      <c r="AN120" s="36"/>
      <c r="AO120" s="36"/>
      <c r="AP120" s="36"/>
      <c r="AQ120" s="36"/>
      <c r="AR120" s="36"/>
      <c r="AS120" s="36"/>
      <c r="AT120" s="36"/>
      <c r="AU120" s="36"/>
      <c r="AV120" s="36"/>
      <c r="AW120" s="36"/>
      <c r="AX120" s="36"/>
      <c r="AY120" s="36"/>
      <c r="AZ120" s="36"/>
      <c r="BA120" s="36"/>
      <c r="BB120" s="36"/>
    </row>
    <row r="121" spans="1:56" s="30" customFormat="1" ht="15" x14ac:dyDescent="0.2">
      <c r="C121" s="33"/>
      <c r="D121" s="81"/>
      <c r="G121" s="33"/>
      <c r="H121" s="81"/>
      <c r="J121" s="32"/>
      <c r="K121" s="33"/>
      <c r="L121" s="33"/>
      <c r="M121" s="81"/>
      <c r="N121" s="81"/>
      <c r="O121" s="249"/>
      <c r="P121" s="67"/>
      <c r="Q121" s="36"/>
      <c r="R121" s="95"/>
      <c r="S121" s="35"/>
      <c r="T121" s="35"/>
      <c r="U121" s="35"/>
      <c r="V121" s="35"/>
      <c r="W121" s="35"/>
      <c r="X121" s="35"/>
      <c r="Y121" s="35"/>
      <c r="Z121" s="35"/>
      <c r="AA121" s="35"/>
      <c r="AB121" s="35"/>
      <c r="AC121" s="35"/>
      <c r="AD121" s="35"/>
      <c r="AE121" s="35"/>
      <c r="AF121" s="35"/>
      <c r="AG121" s="35"/>
      <c r="AH121" s="35"/>
      <c r="AI121" s="35"/>
      <c r="AJ121" s="35"/>
      <c r="AK121" s="36"/>
      <c r="AL121" s="36"/>
      <c r="AM121" s="36"/>
      <c r="AN121" s="36"/>
      <c r="AO121" s="36"/>
      <c r="AP121" s="36"/>
      <c r="AQ121" s="36"/>
      <c r="AR121" s="36"/>
      <c r="AS121" s="36"/>
      <c r="AT121" s="36"/>
      <c r="AU121" s="36"/>
      <c r="AV121" s="36"/>
      <c r="AW121" s="36"/>
      <c r="AX121" s="36"/>
      <c r="AY121" s="36"/>
      <c r="AZ121" s="36"/>
      <c r="BA121" s="36"/>
      <c r="BB121" s="36"/>
    </row>
    <row r="122" spans="1:56" ht="18" x14ac:dyDescent="0.2">
      <c r="A122" s="298"/>
      <c r="B122" s="286" t="s">
        <v>436</v>
      </c>
      <c r="C122" s="296"/>
      <c r="D122" s="297"/>
      <c r="E122" s="298"/>
      <c r="F122" s="298"/>
      <c r="G122" s="296"/>
      <c r="H122" s="297"/>
      <c r="I122" s="298"/>
      <c r="J122" s="299"/>
      <c r="K122" s="296"/>
      <c r="L122" s="296"/>
      <c r="M122" s="297"/>
      <c r="N122" s="297"/>
      <c r="O122" s="300"/>
      <c r="P122" s="298"/>
      <c r="Q122" s="301"/>
      <c r="R122" s="302"/>
      <c r="S122" s="302"/>
      <c r="T122" s="302"/>
      <c r="U122" s="302"/>
      <c r="V122" s="302"/>
      <c r="W122" s="302"/>
      <c r="X122" s="302"/>
      <c r="Y122" s="302"/>
      <c r="Z122" s="302"/>
      <c r="AA122" s="302"/>
      <c r="AB122" s="302"/>
      <c r="AC122" s="302"/>
      <c r="AD122" s="302"/>
      <c r="AE122" s="302"/>
      <c r="AF122" s="302"/>
      <c r="AG122" s="302"/>
      <c r="AH122" s="302"/>
      <c r="AI122" s="302"/>
      <c r="AJ122" s="302"/>
      <c r="AK122" s="303"/>
      <c r="AL122" s="303"/>
      <c r="AM122" s="303"/>
      <c r="AN122" s="303"/>
      <c r="AO122" s="303"/>
      <c r="AP122" s="303"/>
      <c r="AQ122" s="303"/>
      <c r="AR122" s="303"/>
      <c r="AS122" s="303"/>
      <c r="AT122" s="303"/>
      <c r="AU122" s="303"/>
      <c r="AV122" s="303"/>
      <c r="AW122" s="303"/>
      <c r="AX122" s="303"/>
      <c r="AY122" s="303"/>
      <c r="AZ122" s="303"/>
      <c r="BA122" s="303"/>
      <c r="BB122" s="303"/>
      <c r="BC122" s="5"/>
      <c r="BD122" s="5"/>
    </row>
    <row r="123" spans="1:56" s="30" customFormat="1" ht="75" x14ac:dyDescent="0.2">
      <c r="B123" s="8"/>
      <c r="C123" s="33" t="s">
        <v>50</v>
      </c>
      <c r="D123" s="81"/>
      <c r="G123" s="37" t="s">
        <v>478</v>
      </c>
      <c r="H123" s="81"/>
      <c r="J123" s="32"/>
      <c r="K123" s="37" t="s">
        <v>297</v>
      </c>
      <c r="L123" s="37" t="s">
        <v>185</v>
      </c>
      <c r="O123" s="249" t="s">
        <v>584</v>
      </c>
      <c r="P123" s="144"/>
      <c r="Q123" s="104"/>
      <c r="R123" s="35" t="s">
        <v>318</v>
      </c>
      <c r="S123" s="35"/>
      <c r="T123" s="35" t="s">
        <v>423</v>
      </c>
      <c r="U123" s="35" t="s">
        <v>319</v>
      </c>
      <c r="V123" s="35" t="s">
        <v>320</v>
      </c>
      <c r="W123" s="104"/>
      <c r="X123" s="104"/>
      <c r="Y123" s="35"/>
      <c r="Z123" s="35"/>
      <c r="AA123" s="35"/>
      <c r="AB123" s="35"/>
      <c r="AC123" s="35"/>
      <c r="AD123" s="35"/>
      <c r="AE123" s="35"/>
      <c r="AF123" s="35"/>
      <c r="AG123" s="35"/>
      <c r="AH123" s="35"/>
      <c r="AI123" s="35"/>
      <c r="AJ123" s="35"/>
      <c r="AK123" s="35"/>
      <c r="AL123" s="35"/>
      <c r="AM123" s="36"/>
      <c r="AN123" s="36"/>
      <c r="AO123" s="36"/>
      <c r="AP123" s="36"/>
      <c r="AQ123" s="36"/>
      <c r="AR123" s="36"/>
      <c r="AS123" s="36"/>
      <c r="AT123" s="36"/>
      <c r="AU123" s="36"/>
      <c r="AV123" s="36"/>
      <c r="AW123" s="36"/>
      <c r="AX123" s="36"/>
      <c r="AY123" s="36"/>
      <c r="AZ123" s="36"/>
      <c r="BA123" s="36"/>
      <c r="BB123" s="36"/>
      <c r="BC123" s="54"/>
      <c r="BD123" s="54"/>
    </row>
    <row r="124" spans="1:56" s="30" customFormat="1" ht="30" x14ac:dyDescent="0.2">
      <c r="B124" s="76" t="s">
        <v>431</v>
      </c>
      <c r="C124" s="152">
        <f>SUM(C84:C88)</f>
        <v>0</v>
      </c>
      <c r="D124" s="81" t="s">
        <v>163</v>
      </c>
      <c r="G124" s="171">
        <f>IF(ISNUMBER(SUM(V84:V88)),SUM(V84:V88),"")</f>
        <v>0</v>
      </c>
      <c r="H124" s="81"/>
      <c r="J124" s="32" t="s">
        <v>424</v>
      </c>
      <c r="K124" s="106" t="str">
        <f>IFERROR(IF(ISNUMBER(L124),L124,(VLOOKUP(C125,Kalusto!$C$5:$E$42,3,FALSE))*(VLOOKUP(C126,Muut!$D$40:$E$43,2,FALSE))),"--")</f>
        <v>--</v>
      </c>
      <c r="L124" s="61"/>
      <c r="M124" s="40" t="s">
        <v>189</v>
      </c>
      <c r="N124" s="40"/>
      <c r="O124" s="250"/>
      <c r="P124" s="147"/>
      <c r="Q124" s="104"/>
      <c r="R124" s="48" t="str">
        <f>IF(ISNUMBER(K124*V124),K124*V124,"")</f>
        <v/>
      </c>
      <c r="S124" s="98" t="s">
        <v>160</v>
      </c>
      <c r="T124" s="48">
        <f>IF(ISNUMBER(C124),C124,IF(ISNUMBER(G124),G124,""))</f>
        <v>0</v>
      </c>
      <c r="U124" s="62" t="str">
        <f>IF(D127="h","",IF(ISNUMBER(C127),C127,""))</f>
        <v/>
      </c>
      <c r="V124" s="48" t="str">
        <f>IF(ISNUMBER(T124),IF(D127="h",D127,IF(ISNUMBER(T124*U124),IF(D127="m3/h",T124/U124,T124*U124),"")),"")</f>
        <v/>
      </c>
      <c r="W124" s="104"/>
      <c r="X124" s="104"/>
      <c r="Y124" s="104"/>
      <c r="Z124" s="59"/>
      <c r="AA124" s="35"/>
      <c r="AB124" s="35"/>
      <c r="AC124" s="60"/>
      <c r="AD124" s="35"/>
      <c r="AE124" s="35"/>
      <c r="AF124" s="35"/>
      <c r="AG124" s="35"/>
      <c r="AH124" s="35"/>
      <c r="AI124" s="35"/>
      <c r="AJ124" s="35"/>
      <c r="AK124" s="35"/>
      <c r="AL124" s="35"/>
      <c r="AM124" s="36"/>
      <c r="AN124" s="36"/>
      <c r="AO124" s="36"/>
      <c r="AP124" s="36"/>
      <c r="AQ124" s="36"/>
      <c r="AR124" s="36"/>
      <c r="AS124" s="36"/>
      <c r="AT124" s="36"/>
      <c r="AU124" s="36"/>
      <c r="AV124" s="36"/>
      <c r="AW124" s="36"/>
      <c r="AX124" s="36"/>
      <c r="AY124" s="36"/>
      <c r="AZ124" s="36"/>
      <c r="BA124" s="36"/>
      <c r="BB124" s="36"/>
      <c r="BC124" s="54"/>
      <c r="BD124" s="54"/>
    </row>
    <row r="125" spans="1:56" s="30" customFormat="1" ht="15" x14ac:dyDescent="0.2">
      <c r="B125" s="52" t="s">
        <v>461</v>
      </c>
      <c r="C125" s="471" t="s">
        <v>300</v>
      </c>
      <c r="D125" s="472"/>
      <c r="E125" s="472"/>
      <c r="F125" s="472"/>
      <c r="G125" s="473"/>
      <c r="H125" s="81"/>
      <c r="J125" s="32"/>
      <c r="O125" s="258"/>
      <c r="P125" s="67"/>
      <c r="Q125" s="104"/>
      <c r="R125" s="94"/>
      <c r="S125" s="104"/>
      <c r="T125" s="36"/>
      <c r="U125" s="35"/>
      <c r="V125" s="35"/>
      <c r="W125" s="35"/>
      <c r="X125" s="35"/>
      <c r="Y125" s="35"/>
      <c r="Z125" s="35"/>
      <c r="AA125" s="35"/>
      <c r="AB125" s="35"/>
      <c r="AC125" s="35"/>
      <c r="AD125" s="35"/>
      <c r="AE125" s="35"/>
      <c r="AF125" s="35"/>
      <c r="AG125" s="35"/>
      <c r="AH125" s="35"/>
      <c r="AI125" s="35"/>
      <c r="AJ125" s="35"/>
      <c r="AK125" s="35"/>
      <c r="AL125" s="35"/>
      <c r="AM125" s="36"/>
      <c r="AN125" s="36"/>
      <c r="AO125" s="36"/>
      <c r="AP125" s="36"/>
      <c r="AQ125" s="36"/>
      <c r="AR125" s="36"/>
      <c r="AS125" s="36"/>
      <c r="AT125" s="36"/>
      <c r="AU125" s="36"/>
      <c r="AV125" s="36"/>
      <c r="AW125" s="36"/>
      <c r="AX125" s="36"/>
      <c r="AY125" s="36"/>
      <c r="AZ125" s="36"/>
      <c r="BA125" s="36"/>
      <c r="BB125" s="36"/>
      <c r="BC125" s="54"/>
      <c r="BD125" s="54"/>
    </row>
    <row r="126" spans="1:56" s="30" customFormat="1" ht="15" x14ac:dyDescent="0.2">
      <c r="B126" s="166" t="s">
        <v>460</v>
      </c>
      <c r="C126" s="156" t="s">
        <v>309</v>
      </c>
      <c r="D126" s="33"/>
      <c r="E126" s="33"/>
      <c r="F126" s="33"/>
      <c r="G126" s="33"/>
      <c r="H126" s="57"/>
      <c r="J126" s="169"/>
      <c r="K126" s="169"/>
      <c r="L126" s="169"/>
      <c r="M126" s="40"/>
      <c r="N126" s="40"/>
      <c r="O126" s="250"/>
      <c r="Q126" s="45"/>
      <c r="R126" s="59"/>
      <c r="S126" s="98"/>
      <c r="T126" s="35"/>
      <c r="U126" s="35"/>
      <c r="V126" s="177"/>
      <c r="W126" s="177"/>
      <c r="X126" s="59"/>
      <c r="Y126" s="35"/>
      <c r="Z126" s="59"/>
      <c r="AA126" s="178"/>
      <c r="AB126" s="59"/>
      <c r="AC126" s="59"/>
      <c r="AD126" s="59"/>
      <c r="AE126" s="59"/>
      <c r="AF126" s="178"/>
      <c r="AG126" s="59"/>
      <c r="AH126" s="104"/>
      <c r="AI126" s="35"/>
      <c r="AJ126" s="35"/>
      <c r="AK126" s="36"/>
      <c r="AL126" s="36"/>
      <c r="AM126" s="36"/>
      <c r="AN126" s="36"/>
      <c r="AO126" s="36"/>
      <c r="AP126" s="36"/>
      <c r="AQ126" s="36"/>
      <c r="AR126" s="36"/>
      <c r="AS126" s="36"/>
      <c r="AT126" s="36"/>
      <c r="AU126" s="36"/>
      <c r="AV126" s="36"/>
      <c r="AW126" s="36"/>
      <c r="AX126" s="36"/>
      <c r="AY126" s="36"/>
      <c r="AZ126" s="36"/>
      <c r="BA126" s="36"/>
      <c r="BB126" s="36"/>
    </row>
    <row r="127" spans="1:56" s="30" customFormat="1" ht="30" x14ac:dyDescent="0.2">
      <c r="B127" s="76" t="s">
        <v>462</v>
      </c>
      <c r="C127" s="189"/>
      <c r="D127" s="86" t="s">
        <v>193</v>
      </c>
      <c r="G127" s="33"/>
      <c r="H127" s="81"/>
      <c r="J127" s="32"/>
      <c r="O127" s="258"/>
      <c r="P127" s="67"/>
      <c r="Q127" s="104"/>
      <c r="R127" s="94"/>
      <c r="S127" s="104"/>
      <c r="T127" s="36"/>
      <c r="U127" s="35"/>
      <c r="V127" s="35"/>
      <c r="W127" s="35"/>
      <c r="X127" s="35"/>
      <c r="Y127" s="35"/>
      <c r="Z127" s="35"/>
      <c r="AA127" s="35"/>
      <c r="AB127" s="35"/>
      <c r="AC127" s="35"/>
      <c r="AD127" s="35"/>
      <c r="AE127" s="35"/>
      <c r="AF127" s="35"/>
      <c r="AG127" s="35"/>
      <c r="AH127" s="35"/>
      <c r="AI127" s="35"/>
      <c r="AJ127" s="35"/>
      <c r="AK127" s="35"/>
      <c r="AL127" s="35"/>
      <c r="AM127" s="36"/>
      <c r="AN127" s="36"/>
      <c r="AO127" s="36"/>
      <c r="AP127" s="36"/>
      <c r="AQ127" s="36"/>
      <c r="AR127" s="36"/>
      <c r="AS127" s="36"/>
      <c r="AT127" s="36"/>
      <c r="AU127" s="36"/>
      <c r="AV127" s="36"/>
      <c r="AW127" s="36"/>
      <c r="AX127" s="36"/>
      <c r="AY127" s="36"/>
      <c r="AZ127" s="36"/>
      <c r="BA127" s="36"/>
      <c r="BB127" s="36"/>
      <c r="BC127" s="54"/>
      <c r="BD127" s="54"/>
    </row>
    <row r="128" spans="1:56" s="30" customFormat="1" ht="15" x14ac:dyDescent="0.2">
      <c r="C128" s="33"/>
      <c r="D128" s="81"/>
      <c r="G128" s="33"/>
      <c r="H128" s="81"/>
      <c r="J128" s="32"/>
      <c r="O128" s="167"/>
      <c r="P128" s="67"/>
      <c r="Q128" s="104"/>
      <c r="R128" s="94"/>
      <c r="S128" s="104"/>
      <c r="T128" s="36"/>
      <c r="U128" s="35"/>
      <c r="V128" s="35"/>
      <c r="W128" s="35"/>
      <c r="X128" s="35"/>
      <c r="Y128" s="35"/>
      <c r="Z128" s="35"/>
      <c r="AA128" s="35"/>
      <c r="AB128" s="35"/>
      <c r="AC128" s="35"/>
      <c r="AD128" s="35"/>
      <c r="AE128" s="35"/>
      <c r="AF128" s="35"/>
      <c r="AG128" s="35"/>
      <c r="AH128" s="35"/>
      <c r="AI128" s="35"/>
      <c r="AJ128" s="35"/>
      <c r="AK128" s="35"/>
      <c r="AL128" s="35"/>
      <c r="AM128" s="36"/>
      <c r="AN128" s="36"/>
      <c r="AO128" s="36"/>
      <c r="AP128" s="36"/>
      <c r="AQ128" s="36"/>
      <c r="AR128" s="36"/>
      <c r="AS128" s="36"/>
      <c r="AT128" s="36"/>
      <c r="AU128" s="36"/>
      <c r="AV128" s="36"/>
      <c r="AW128" s="36"/>
      <c r="AX128" s="36"/>
      <c r="AY128" s="36"/>
      <c r="AZ128" s="36"/>
      <c r="BA128" s="36"/>
      <c r="BB128" s="36"/>
      <c r="BC128" s="54"/>
      <c r="BD128" s="54"/>
    </row>
    <row r="129" spans="1:56" ht="18" x14ac:dyDescent="0.2">
      <c r="A129" s="298"/>
      <c r="B129" s="286" t="s">
        <v>480</v>
      </c>
      <c r="C129" s="298"/>
      <c r="D129" s="297"/>
      <c r="E129" s="298"/>
      <c r="F129" s="298"/>
      <c r="G129" s="298"/>
      <c r="H129" s="297"/>
      <c r="I129" s="298"/>
      <c r="J129" s="299"/>
      <c r="K129" s="298"/>
      <c r="L129" s="298"/>
      <c r="M129" s="297"/>
      <c r="N129" s="297"/>
      <c r="O129" s="300"/>
      <c r="P129" s="304"/>
      <c r="Q129" s="298"/>
      <c r="R129" s="303"/>
      <c r="S129" s="303"/>
      <c r="T129" s="303"/>
      <c r="U129" s="302"/>
      <c r="V129" s="302"/>
      <c r="W129" s="302"/>
      <c r="X129" s="302"/>
      <c r="Y129" s="302"/>
      <c r="Z129" s="302"/>
      <c r="AA129" s="302"/>
      <c r="AB129" s="302"/>
      <c r="AC129" s="302"/>
      <c r="AD129" s="302"/>
      <c r="AE129" s="302"/>
      <c r="AF129" s="302"/>
      <c r="AG129" s="302"/>
      <c r="AH129" s="302"/>
      <c r="AI129" s="302"/>
      <c r="AJ129" s="302"/>
      <c r="AK129" s="302"/>
      <c r="AL129" s="302"/>
      <c r="AM129" s="303"/>
      <c r="AN129" s="303"/>
      <c r="AO129" s="303"/>
      <c r="AP129" s="303"/>
      <c r="AQ129" s="303"/>
      <c r="AR129" s="303"/>
      <c r="AS129" s="303"/>
      <c r="AT129" s="303"/>
      <c r="AU129" s="303"/>
      <c r="AV129" s="303"/>
      <c r="AW129" s="303"/>
      <c r="AX129" s="303"/>
      <c r="AY129" s="303"/>
      <c r="AZ129" s="303"/>
      <c r="BA129" s="303"/>
      <c r="BB129" s="303"/>
    </row>
    <row r="130" spans="1:56" s="30" customFormat="1" ht="15.75" x14ac:dyDescent="0.2">
      <c r="B130" s="8"/>
      <c r="C130" s="33" t="s">
        <v>50</v>
      </c>
      <c r="D130" s="81"/>
      <c r="H130" s="81"/>
      <c r="J130" s="32"/>
      <c r="K130" s="37" t="s">
        <v>297</v>
      </c>
      <c r="L130" s="37" t="s">
        <v>185</v>
      </c>
      <c r="M130" s="81"/>
      <c r="N130" s="81"/>
      <c r="O130" s="249" t="s">
        <v>584</v>
      </c>
      <c r="P130" s="144"/>
      <c r="Q130" s="36"/>
      <c r="R130" s="35" t="s">
        <v>318</v>
      </c>
      <c r="S130" s="35"/>
      <c r="T130" s="35" t="s">
        <v>423</v>
      </c>
      <c r="U130" s="35" t="s">
        <v>319</v>
      </c>
      <c r="V130" s="35" t="s">
        <v>320</v>
      </c>
      <c r="W130" s="35"/>
      <c r="X130" s="35"/>
      <c r="Y130" s="35"/>
      <c r="Z130" s="35"/>
      <c r="AA130" s="35"/>
      <c r="AB130" s="35"/>
      <c r="AC130" s="35"/>
      <c r="AD130" s="35"/>
      <c r="AE130" s="35"/>
      <c r="AF130" s="35"/>
      <c r="AG130" s="35"/>
      <c r="AH130" s="35"/>
      <c r="AI130" s="35"/>
      <c r="AJ130" s="35"/>
      <c r="AK130" s="35"/>
      <c r="AL130" s="35"/>
      <c r="AM130" s="36"/>
      <c r="AN130" s="36"/>
      <c r="AO130" s="36"/>
      <c r="AP130" s="36"/>
      <c r="AQ130" s="36"/>
      <c r="AR130" s="36"/>
      <c r="AS130" s="36"/>
      <c r="AT130" s="36"/>
      <c r="AU130" s="36"/>
      <c r="AV130" s="36"/>
      <c r="AW130" s="36"/>
      <c r="AX130" s="36"/>
      <c r="AY130" s="36"/>
      <c r="AZ130" s="36"/>
      <c r="BA130" s="36"/>
      <c r="BB130" s="36"/>
      <c r="BC130" s="54"/>
      <c r="BD130" s="54"/>
    </row>
    <row r="131" spans="1:56" s="30" customFormat="1" ht="15" x14ac:dyDescent="0.2">
      <c r="B131" s="52" t="s">
        <v>628</v>
      </c>
      <c r="C131" s="179"/>
      <c r="D131" s="174" t="s">
        <v>163</v>
      </c>
      <c r="E131" s="57"/>
      <c r="H131" s="81"/>
      <c r="J131" s="32" t="s">
        <v>424</v>
      </c>
      <c r="K131" s="106" t="str">
        <f>IFERROR(IF(ISNUMBER(L131),L131,(VLOOKUP(C132,Kalusto!$C$5:$E$42,3,FALSE))*(VLOOKUP(C133,Muut!$D$40:$E$43,2,FALSE))),"--")</f>
        <v>--</v>
      </c>
      <c r="L131" s="39"/>
      <c r="M131" s="40" t="s">
        <v>189</v>
      </c>
      <c r="N131" s="40"/>
      <c r="O131" s="250"/>
      <c r="P131" s="147"/>
      <c r="Q131" s="36"/>
      <c r="R131" s="48" t="str">
        <f>IF(ISNUMBER(K131*V131),K131*V131,"")</f>
        <v/>
      </c>
      <c r="S131" s="98" t="s">
        <v>160</v>
      </c>
      <c r="T131" s="48" t="str">
        <f>IF(ISNUMBER(C131),C131,"")</f>
        <v/>
      </c>
      <c r="U131" s="62" t="str">
        <f>IF(D134="h","",IF(ISNUMBER(C134),C134,""))</f>
        <v/>
      </c>
      <c r="V131" s="48" t="str">
        <f>IF(ISNUMBER(T131),IF(D134="h",C134,IF(ISNUMBER(T131*U131),IF(D134="m3/h",T131/U131,T131*U131),"")),"")</f>
        <v/>
      </c>
      <c r="W131" s="59"/>
      <c r="X131" s="59"/>
      <c r="Y131" s="59"/>
      <c r="Z131" s="59"/>
      <c r="AA131" s="35"/>
      <c r="AB131" s="35"/>
      <c r="AC131" s="60"/>
      <c r="AD131" s="35"/>
      <c r="AE131" s="35"/>
      <c r="AF131" s="35"/>
      <c r="AG131" s="35"/>
      <c r="AH131" s="35"/>
      <c r="AI131" s="35"/>
      <c r="AJ131" s="35"/>
      <c r="AK131" s="35"/>
      <c r="AL131" s="35"/>
      <c r="AM131" s="36"/>
      <c r="AN131" s="36"/>
      <c r="AO131" s="36"/>
      <c r="AP131" s="36"/>
      <c r="AQ131" s="36"/>
      <c r="AR131" s="36"/>
      <c r="AS131" s="36"/>
      <c r="AT131" s="36"/>
      <c r="AU131" s="36"/>
      <c r="AV131" s="36"/>
      <c r="AW131" s="36"/>
      <c r="AX131" s="36"/>
      <c r="AY131" s="36"/>
      <c r="AZ131" s="36"/>
      <c r="BA131" s="36"/>
      <c r="BB131" s="36"/>
      <c r="BC131" s="54"/>
      <c r="BD131" s="54"/>
    </row>
    <row r="132" spans="1:56" s="30" customFormat="1" ht="15" x14ac:dyDescent="0.2">
      <c r="B132" s="52" t="s">
        <v>461</v>
      </c>
      <c r="C132" s="471" t="s">
        <v>300</v>
      </c>
      <c r="D132" s="472"/>
      <c r="E132" s="472"/>
      <c r="F132" s="472"/>
      <c r="G132" s="473"/>
      <c r="J132" s="32"/>
      <c r="K132" s="33"/>
      <c r="L132" s="33"/>
      <c r="M132" s="81"/>
      <c r="N132" s="81"/>
      <c r="O132" s="251"/>
      <c r="P132" s="143"/>
      <c r="Q132" s="101"/>
      <c r="R132" s="95"/>
      <c r="S132" s="35"/>
      <c r="T132" s="35"/>
      <c r="U132" s="35"/>
      <c r="V132" s="35"/>
      <c r="W132" s="35"/>
      <c r="X132" s="35"/>
      <c r="Y132" s="35"/>
      <c r="Z132" s="35"/>
      <c r="AA132" s="35"/>
      <c r="AB132" s="35"/>
      <c r="AC132" s="35"/>
      <c r="AD132" s="35"/>
      <c r="AE132" s="35"/>
      <c r="AF132" s="35"/>
      <c r="AG132" s="35"/>
      <c r="AH132" s="35"/>
      <c r="AI132" s="35"/>
      <c r="AJ132" s="35"/>
      <c r="AK132" s="35"/>
      <c r="AL132" s="35"/>
      <c r="AM132" s="36"/>
      <c r="AN132" s="36"/>
      <c r="AO132" s="36"/>
      <c r="AP132" s="36"/>
      <c r="AQ132" s="36"/>
      <c r="AR132" s="36"/>
      <c r="AS132" s="36"/>
      <c r="AT132" s="36"/>
      <c r="AU132" s="36"/>
      <c r="AV132" s="36"/>
      <c r="AW132" s="36"/>
      <c r="AX132" s="36"/>
      <c r="AY132" s="36"/>
      <c r="AZ132" s="36"/>
      <c r="BA132" s="36"/>
      <c r="BB132" s="36"/>
      <c r="BC132" s="54"/>
      <c r="BD132" s="54"/>
    </row>
    <row r="133" spans="1:56" s="30" customFormat="1" ht="15" x14ac:dyDescent="0.2">
      <c r="B133" s="166" t="s">
        <v>460</v>
      </c>
      <c r="C133" s="156" t="s">
        <v>309</v>
      </c>
      <c r="D133" s="33"/>
      <c r="E133" s="33"/>
      <c r="F133" s="33"/>
      <c r="G133" s="33"/>
      <c r="H133" s="57"/>
      <c r="J133" s="169"/>
      <c r="K133" s="169"/>
      <c r="L133" s="169"/>
      <c r="M133" s="40"/>
      <c r="N133" s="40"/>
      <c r="O133" s="250"/>
      <c r="Q133" s="45"/>
      <c r="R133" s="59"/>
      <c r="S133" s="98"/>
      <c r="T133" s="35"/>
      <c r="U133" s="35"/>
      <c r="V133" s="177"/>
      <c r="W133" s="177"/>
      <c r="X133" s="59"/>
      <c r="Y133" s="35"/>
      <c r="Z133" s="59"/>
      <c r="AA133" s="178"/>
      <c r="AB133" s="59"/>
      <c r="AC133" s="59"/>
      <c r="AD133" s="59"/>
      <c r="AE133" s="59"/>
      <c r="AF133" s="178"/>
      <c r="AG133" s="59"/>
      <c r="AH133" s="104"/>
      <c r="AI133" s="35"/>
      <c r="AJ133" s="35"/>
      <c r="AK133" s="36"/>
      <c r="AL133" s="36"/>
      <c r="AM133" s="36"/>
      <c r="AN133" s="36"/>
      <c r="AO133" s="36"/>
      <c r="AP133" s="36"/>
      <c r="AQ133" s="36"/>
      <c r="AR133" s="36"/>
      <c r="AS133" s="36"/>
      <c r="AT133" s="36"/>
      <c r="AU133" s="36"/>
      <c r="AV133" s="36"/>
      <c r="AW133" s="36"/>
      <c r="AX133" s="36"/>
      <c r="AY133" s="36"/>
      <c r="AZ133" s="36"/>
      <c r="BA133" s="36"/>
      <c r="BB133" s="36"/>
    </row>
    <row r="134" spans="1:56" s="30" customFormat="1" ht="30" x14ac:dyDescent="0.2">
      <c r="B134" s="76" t="s">
        <v>462</v>
      </c>
      <c r="C134" s="180"/>
      <c r="D134" s="86" t="s">
        <v>193</v>
      </c>
      <c r="H134" s="81"/>
      <c r="J134" s="32"/>
      <c r="M134" s="81"/>
      <c r="N134" s="81"/>
      <c r="O134" s="251"/>
      <c r="P134" s="145"/>
      <c r="Q134" s="101"/>
      <c r="R134" s="95"/>
      <c r="S134" s="35"/>
      <c r="T134" s="35"/>
      <c r="U134" s="35"/>
      <c r="V134" s="35"/>
      <c r="W134" s="35"/>
      <c r="X134" s="35"/>
      <c r="Y134" s="35"/>
      <c r="Z134" s="35"/>
      <c r="AA134" s="35"/>
      <c r="AB134" s="35"/>
      <c r="AC134" s="35"/>
      <c r="AD134" s="35"/>
      <c r="AE134" s="35"/>
      <c r="AF134" s="35"/>
      <c r="AG134" s="35"/>
      <c r="AH134" s="35"/>
      <c r="AI134" s="35"/>
      <c r="AJ134" s="35"/>
      <c r="AK134" s="35"/>
      <c r="AL134" s="35"/>
      <c r="AM134" s="36"/>
      <c r="AN134" s="36"/>
      <c r="AO134" s="36"/>
      <c r="AP134" s="36"/>
      <c r="AQ134" s="36"/>
      <c r="AR134" s="36"/>
      <c r="AS134" s="36"/>
      <c r="AT134" s="36"/>
      <c r="AU134" s="36"/>
      <c r="AV134" s="36"/>
      <c r="AW134" s="36"/>
      <c r="AX134" s="36"/>
      <c r="AY134" s="36"/>
      <c r="AZ134" s="36"/>
      <c r="BA134" s="36"/>
      <c r="BB134" s="36"/>
      <c r="BC134" s="54"/>
      <c r="BD134" s="54"/>
    </row>
    <row r="135" spans="1:56" s="30" customFormat="1" ht="15" x14ac:dyDescent="0.2">
      <c r="C135" s="63"/>
      <c r="D135" s="81"/>
      <c r="H135" s="81"/>
      <c r="J135" s="32"/>
      <c r="M135" s="81"/>
      <c r="N135" s="81"/>
      <c r="O135" s="249"/>
      <c r="P135" s="67"/>
      <c r="Q135" s="36"/>
      <c r="R135" s="95"/>
      <c r="S135" s="35"/>
      <c r="T135" s="35"/>
      <c r="U135" s="35"/>
      <c r="V135" s="35"/>
      <c r="W135" s="35"/>
      <c r="X135" s="35"/>
      <c r="Y135" s="35"/>
      <c r="Z135" s="35"/>
      <c r="AA135" s="35"/>
      <c r="AB135" s="35"/>
      <c r="AC135" s="35"/>
      <c r="AD135" s="35"/>
      <c r="AE135" s="35"/>
      <c r="AF135" s="35"/>
      <c r="AG135" s="35"/>
      <c r="AH135" s="35"/>
      <c r="AI135" s="35"/>
      <c r="AJ135" s="35"/>
      <c r="AK135" s="35"/>
      <c r="AL135" s="35"/>
      <c r="AM135" s="36"/>
      <c r="AN135" s="36"/>
      <c r="AO135" s="36"/>
      <c r="AP135" s="36"/>
      <c r="AQ135" s="36"/>
      <c r="AR135" s="36"/>
      <c r="AS135" s="36"/>
      <c r="AT135" s="36"/>
      <c r="AU135" s="36"/>
      <c r="AV135" s="36"/>
      <c r="AW135" s="36"/>
      <c r="AX135" s="36"/>
      <c r="AY135" s="36"/>
      <c r="AZ135" s="36"/>
      <c r="BA135" s="36"/>
      <c r="BB135" s="36"/>
      <c r="BC135" s="54"/>
      <c r="BD135" s="54"/>
    </row>
    <row r="136" spans="1:56" ht="18" x14ac:dyDescent="0.2">
      <c r="A136" s="298"/>
      <c r="B136" s="286" t="s">
        <v>481</v>
      </c>
      <c r="C136" s="298"/>
      <c r="D136" s="297"/>
      <c r="E136" s="298"/>
      <c r="F136" s="298"/>
      <c r="G136" s="298"/>
      <c r="H136" s="297"/>
      <c r="I136" s="298"/>
      <c r="J136" s="299"/>
      <c r="K136" s="298"/>
      <c r="L136" s="298"/>
      <c r="M136" s="297"/>
      <c r="N136" s="297"/>
      <c r="O136" s="300"/>
      <c r="P136" s="304"/>
      <c r="Q136" s="298"/>
      <c r="R136" s="303"/>
      <c r="S136" s="303"/>
      <c r="T136" s="303"/>
      <c r="U136" s="302"/>
      <c r="V136" s="302"/>
      <c r="W136" s="302"/>
      <c r="X136" s="302"/>
      <c r="Y136" s="302"/>
      <c r="Z136" s="302"/>
      <c r="AA136" s="302"/>
      <c r="AB136" s="302"/>
      <c r="AC136" s="302"/>
      <c r="AD136" s="302"/>
      <c r="AE136" s="302"/>
      <c r="AF136" s="302"/>
      <c r="AG136" s="302"/>
      <c r="AH136" s="302"/>
      <c r="AI136" s="302"/>
      <c r="AJ136" s="302"/>
      <c r="AK136" s="302"/>
      <c r="AL136" s="302"/>
      <c r="AM136" s="303"/>
      <c r="AN136" s="303"/>
      <c r="AO136" s="303"/>
      <c r="AP136" s="303"/>
      <c r="AQ136" s="303"/>
      <c r="AR136" s="303"/>
      <c r="AS136" s="303"/>
      <c r="AT136" s="303"/>
      <c r="AU136" s="303"/>
      <c r="AV136" s="303"/>
      <c r="AW136" s="303"/>
      <c r="AX136" s="303"/>
      <c r="AY136" s="303"/>
      <c r="AZ136" s="303"/>
      <c r="BA136" s="303"/>
      <c r="BB136" s="303"/>
    </row>
    <row r="137" spans="1:56" s="30" customFormat="1" ht="15.75" x14ac:dyDescent="0.2">
      <c r="B137" s="8"/>
      <c r="C137" s="78" t="s">
        <v>50</v>
      </c>
      <c r="D137" s="81"/>
      <c r="G137" s="37" t="s">
        <v>183</v>
      </c>
      <c r="H137" s="81"/>
      <c r="J137" s="32"/>
      <c r="K137" s="37" t="s">
        <v>297</v>
      </c>
      <c r="L137" s="37" t="s">
        <v>185</v>
      </c>
      <c r="M137" s="37"/>
      <c r="N137" s="37"/>
      <c r="O137" s="249" t="s">
        <v>584</v>
      </c>
      <c r="P137" s="67"/>
      <c r="Q137" s="104"/>
      <c r="R137" s="35" t="s">
        <v>318</v>
      </c>
      <c r="S137" s="104"/>
      <c r="T137" s="35" t="s">
        <v>400</v>
      </c>
      <c r="U137" s="35" t="s">
        <v>399</v>
      </c>
      <c r="V137" s="35" t="s">
        <v>397</v>
      </c>
      <c r="W137" s="35" t="s">
        <v>398</v>
      </c>
      <c r="X137" s="35" t="s">
        <v>401</v>
      </c>
      <c r="Y137" s="35" t="s">
        <v>403</v>
      </c>
      <c r="Z137" s="35" t="s">
        <v>402</v>
      </c>
      <c r="AA137" s="35" t="s">
        <v>186</v>
      </c>
      <c r="AB137" s="35" t="s">
        <v>345</v>
      </c>
      <c r="AC137" s="35" t="s">
        <v>404</v>
      </c>
      <c r="AD137" s="35" t="s">
        <v>346</v>
      </c>
      <c r="AE137" s="35" t="s">
        <v>405</v>
      </c>
      <c r="AF137" s="35" t="s">
        <v>406</v>
      </c>
      <c r="AG137" s="35" t="s">
        <v>578</v>
      </c>
      <c r="AH137" s="104"/>
      <c r="AI137" s="104"/>
      <c r="AJ137" s="104"/>
      <c r="AK137" s="35"/>
      <c r="AL137" s="35"/>
      <c r="AM137" s="35"/>
      <c r="AN137" s="36"/>
      <c r="AO137" s="36"/>
      <c r="AP137" s="36"/>
      <c r="AQ137" s="36"/>
      <c r="AR137" s="36"/>
      <c r="AS137" s="36"/>
      <c r="AT137" s="36"/>
      <c r="AU137" s="36"/>
      <c r="AV137" s="36"/>
      <c r="AW137" s="36"/>
      <c r="AX137" s="36"/>
      <c r="AY137" s="36"/>
      <c r="AZ137" s="36"/>
      <c r="BA137" s="36"/>
      <c r="BB137" s="36"/>
      <c r="BC137" s="54"/>
      <c r="BD137" s="54"/>
    </row>
    <row r="138" spans="1:56" s="30" customFormat="1" ht="30" x14ac:dyDescent="0.2">
      <c r="B138" s="52" t="s">
        <v>425</v>
      </c>
      <c r="C138" s="190"/>
      <c r="D138" s="81" t="s">
        <v>109</v>
      </c>
      <c r="G138" s="156"/>
      <c r="H138" s="81" t="s">
        <v>165</v>
      </c>
      <c r="J138" s="169" t="s">
        <v>395</v>
      </c>
      <c r="K138" s="92" t="str">
        <f>IFERROR(IF(ISNUMBER(L138),L138,(VLOOKUP(C139,Kalusto!$C$45:$G$84,5,FALSE))*(VLOOKUP(C140,Muut!$D$40:$E$43,2,FALSE))),"--")</f>
        <v>--</v>
      </c>
      <c r="L138" s="39"/>
      <c r="M138" s="40" t="s">
        <v>184</v>
      </c>
      <c r="N138" s="40"/>
      <c r="O138" s="250"/>
      <c r="P138" s="67"/>
      <c r="Q138" s="104"/>
      <c r="R138" s="48" t="str">
        <f>IF(AND(NOT(ISNUMBER(AB138)),NOT(ISNUMBER(AG138))),"",IF(ISNUMBER(AB138),AB138,0)+IF(ISNUMBER(AG138),AG138,0))</f>
        <v/>
      </c>
      <c r="S138" s="98" t="s">
        <v>160</v>
      </c>
      <c r="T138" s="46" t="str">
        <f>IFERROR(IF(ISNUMBER(L138),"Kohdetieto",VLOOKUP(C139,Kalusto!$C$45:$L$84,7,FALSE)),"--")</f>
        <v>--</v>
      </c>
      <c r="U138" s="46" t="str">
        <f>IFERROR(IF(ISNUMBER(L138),"Kohdetieto",VLOOKUP(C139,Kalusto!$C$45:$L$84,8,FALSE)),"--")</f>
        <v>--</v>
      </c>
      <c r="V138" s="47" t="str">
        <f>IFERROR(IF(ISNUMBER(L138),"Kohdetieto",VLOOKUP(C139,Kalusto!$C$45:$L$84,9,FALSE)),"--")</f>
        <v>--</v>
      </c>
      <c r="W138" s="47" t="str">
        <f>IFERROR(IF(ISNUMBER(L138),"Kohdetieto",VLOOKUP(C139,Kalusto!$C$45:$L$84,10,FALSE)),"--")</f>
        <v>--</v>
      </c>
      <c r="X138" s="48" t="str">
        <f>IF(ISBLANK(C138),"",IF(ISNUMBER(C138*G138),C138*G138,""))</f>
        <v/>
      </c>
      <c r="Y138" s="46" t="str">
        <f>IF(ISNUMBER(C143),C143,"")</f>
        <v/>
      </c>
      <c r="Z138" s="48" t="str">
        <f>IF(ISNUMBER(X138/(U138*V138)*Y138),X138/(U138*V138)*Y138,"")</f>
        <v/>
      </c>
      <c r="AA138" s="49" t="str">
        <f>IF(ISNUMBER(L138),L138,K138)</f>
        <v>--</v>
      </c>
      <c r="AB138" s="48" t="str">
        <f>IF(ISNUMBER(Y138*X138*K138),Y138*X138*K138,"")</f>
        <v/>
      </c>
      <c r="AC138" s="48" t="str">
        <f>IF(ISNUMBER(Y138),Y138,"")</f>
        <v/>
      </c>
      <c r="AD138" s="48" t="str">
        <f>IF(ISNUMBER(X138/(U138*V138)),X138/(U138*V138),"")</f>
        <v/>
      </c>
      <c r="AE138" s="48" t="str">
        <f>IF(ISNUMBER(AD138*AC138),AD138*AC138,"")</f>
        <v/>
      </c>
      <c r="AF138" s="49" t="str">
        <f ca="1">IF(ISNUMBER(AE138),IF(ISNUMBER(L138),0,OFFSET(Kalusto!$G$86,AH100+AJ100+AI100,0,1,1)),"")</f>
        <v/>
      </c>
      <c r="AG138" s="48" t="str">
        <f>IF(ISNUMBER(AC138*AD138*K139),AC138*AD138*K139,"")</f>
        <v/>
      </c>
      <c r="AH138" s="104"/>
      <c r="AI138" s="104"/>
      <c r="AJ138" s="104"/>
      <c r="AK138" s="35"/>
      <c r="AL138" s="35"/>
      <c r="AM138" s="35"/>
      <c r="AN138" s="36"/>
      <c r="AO138" s="36"/>
      <c r="AP138" s="36"/>
      <c r="AQ138" s="36"/>
      <c r="AR138" s="36"/>
      <c r="AS138" s="36"/>
      <c r="AT138" s="36"/>
      <c r="AU138" s="36"/>
      <c r="AV138" s="36"/>
      <c r="AW138" s="36"/>
      <c r="AX138" s="36"/>
      <c r="AY138" s="36"/>
      <c r="AZ138" s="36"/>
      <c r="BA138" s="36"/>
      <c r="BB138" s="36"/>
      <c r="BC138" s="54"/>
      <c r="BD138" s="54"/>
    </row>
    <row r="139" spans="1:56" s="30" customFormat="1" ht="30" x14ac:dyDescent="0.2">
      <c r="B139" s="76" t="s">
        <v>479</v>
      </c>
      <c r="C139" s="471" t="s">
        <v>298</v>
      </c>
      <c r="D139" s="472"/>
      <c r="E139" s="472"/>
      <c r="F139" s="472"/>
      <c r="G139" s="473"/>
      <c r="H139" s="81"/>
      <c r="J139" s="32" t="s">
        <v>424</v>
      </c>
      <c r="K139" s="106" t="str">
        <f>IFERROR(IF(ISNUMBER(L139),L139,(VLOOKUP(C141,Kalusto!$C$5:$E$42,3,FALSE))*(VLOOKUP(C142,Muut!$D$40:$E$43,2,FALSE))),"--")</f>
        <v>--</v>
      </c>
      <c r="L139" s="39"/>
      <c r="M139" s="40" t="s">
        <v>189</v>
      </c>
      <c r="N139" s="40"/>
      <c r="O139" s="250"/>
      <c r="P139" s="67"/>
      <c r="Q139" s="104"/>
      <c r="R139" s="48" t="str">
        <f>IF(ISNUMBER(K139*V143),K139*V143,"")</f>
        <v/>
      </c>
      <c r="S139" s="98" t="s">
        <v>160</v>
      </c>
      <c r="T139" s="35"/>
      <c r="U139" s="35"/>
      <c r="V139" s="35"/>
      <c r="W139" s="35"/>
      <c r="X139" s="35"/>
      <c r="Y139" s="35"/>
      <c r="Z139" s="60" t="str">
        <f>IF(C141=Pudotusvalikot!$D$67,"",VLOOKUP(C141,Kalusto!$C$5:$E$42,3,FALSE))</f>
        <v/>
      </c>
      <c r="AA139" s="60"/>
      <c r="AB139" s="59" t="str">
        <f>IF(ISNUMBER(#REF!),#REF!,"")</f>
        <v/>
      </c>
      <c r="AC139" s="35"/>
      <c r="AD139" s="59" t="str">
        <f>IF(ISNUMBER(AB139*C144),IF(D144="m3/h",AB139/C144,AB139*C144),"")</f>
        <v/>
      </c>
      <c r="AE139" s="59"/>
      <c r="AF139" s="59"/>
      <c r="AG139" s="59" t="str">
        <f>IF(ISNUMBER(Z139*AD139),Z139*AD139,"")</f>
        <v/>
      </c>
      <c r="AH139" s="104"/>
      <c r="AI139" s="104"/>
      <c r="AJ139" s="35"/>
      <c r="AK139" s="35"/>
      <c r="AL139" s="35"/>
      <c r="AM139" s="36"/>
      <c r="AN139" s="36"/>
      <c r="AO139" s="36"/>
      <c r="AP139" s="36"/>
      <c r="AQ139" s="36"/>
      <c r="AR139" s="36"/>
      <c r="AS139" s="36"/>
      <c r="AT139" s="36"/>
      <c r="AU139" s="36"/>
      <c r="AV139" s="36"/>
      <c r="AW139" s="36"/>
      <c r="AX139" s="36"/>
      <c r="AY139" s="36"/>
      <c r="AZ139" s="36"/>
      <c r="BA139" s="36"/>
      <c r="BB139" s="36"/>
      <c r="BC139" s="54"/>
      <c r="BD139" s="54"/>
    </row>
    <row r="140" spans="1:56" s="30" customFormat="1" ht="15" x14ac:dyDescent="0.2">
      <c r="B140" s="182" t="s">
        <v>457</v>
      </c>
      <c r="C140" s="156" t="s">
        <v>309</v>
      </c>
      <c r="D140" s="33"/>
      <c r="E140" s="33"/>
      <c r="F140" s="33"/>
      <c r="G140" s="33"/>
      <c r="H140" s="57"/>
      <c r="J140" s="169"/>
      <c r="K140" s="169"/>
      <c r="L140" s="169"/>
      <c r="M140" s="40"/>
      <c r="N140" s="40"/>
      <c r="O140" s="250"/>
      <c r="Q140" s="45"/>
      <c r="R140" s="98"/>
      <c r="S140" s="98"/>
      <c r="T140" s="35"/>
      <c r="U140" s="35"/>
      <c r="V140" s="177"/>
      <c r="W140" s="177"/>
      <c r="X140" s="59"/>
      <c r="Y140" s="35"/>
      <c r="Z140" s="59"/>
      <c r="AA140" s="178"/>
      <c r="AB140" s="59"/>
      <c r="AC140" s="59"/>
      <c r="AD140" s="59"/>
      <c r="AE140" s="59"/>
      <c r="AF140" s="178"/>
      <c r="AG140" s="59"/>
      <c r="AH140" s="104"/>
      <c r="AI140" s="35"/>
      <c r="AJ140" s="35"/>
      <c r="AK140" s="36"/>
      <c r="AL140" s="36"/>
      <c r="AM140" s="36"/>
      <c r="AN140" s="36"/>
      <c r="AO140" s="36"/>
      <c r="AP140" s="36"/>
      <c r="AQ140" s="36"/>
      <c r="AR140" s="36"/>
      <c r="AS140" s="36"/>
      <c r="AT140" s="36"/>
      <c r="AU140" s="36"/>
      <c r="AV140" s="36"/>
      <c r="AW140" s="36"/>
      <c r="AX140" s="36"/>
      <c r="AY140" s="36"/>
      <c r="AZ140" s="36"/>
      <c r="BA140" s="36"/>
      <c r="BB140" s="36"/>
    </row>
    <row r="141" spans="1:56" s="30" customFormat="1" ht="15" x14ac:dyDescent="0.2">
      <c r="B141" s="52" t="s">
        <v>461</v>
      </c>
      <c r="C141" s="471" t="s">
        <v>300</v>
      </c>
      <c r="D141" s="472"/>
      <c r="E141" s="472"/>
      <c r="F141" s="472"/>
      <c r="G141" s="473"/>
      <c r="H141" s="81"/>
      <c r="J141" s="32"/>
      <c r="O141" s="258"/>
      <c r="P141" s="67"/>
      <c r="Q141" s="104"/>
      <c r="R141" s="94"/>
      <c r="S141" s="104"/>
      <c r="T141" s="35" t="s">
        <v>423</v>
      </c>
      <c r="U141" s="35" t="s">
        <v>319</v>
      </c>
      <c r="V141" s="35" t="s">
        <v>320</v>
      </c>
      <c r="W141" s="35"/>
      <c r="X141" s="35"/>
      <c r="Y141" s="35"/>
      <c r="Z141" s="35"/>
      <c r="AA141" s="35"/>
      <c r="AB141" s="35"/>
      <c r="AC141" s="35"/>
      <c r="AD141" s="35"/>
      <c r="AE141" s="35"/>
      <c r="AF141" s="35"/>
      <c r="AG141" s="35"/>
      <c r="AH141" s="104"/>
      <c r="AI141" s="104"/>
      <c r="AJ141" s="35"/>
      <c r="AK141" s="35"/>
      <c r="AL141" s="35"/>
      <c r="AM141" s="36"/>
      <c r="AN141" s="36"/>
      <c r="AO141" s="36"/>
      <c r="AP141" s="36"/>
      <c r="AQ141" s="36"/>
      <c r="AR141" s="36"/>
      <c r="AS141" s="36"/>
      <c r="AT141" s="36"/>
      <c r="AU141" s="36"/>
      <c r="AV141" s="36"/>
      <c r="AW141" s="36"/>
      <c r="AX141" s="36"/>
      <c r="AY141" s="36"/>
      <c r="AZ141" s="36"/>
      <c r="BA141" s="36"/>
      <c r="BB141" s="36"/>
      <c r="BC141" s="54"/>
      <c r="BD141" s="54"/>
    </row>
    <row r="142" spans="1:56" s="30" customFormat="1" ht="15" x14ac:dyDescent="0.2">
      <c r="B142" s="166" t="s">
        <v>460</v>
      </c>
      <c r="C142" s="156" t="s">
        <v>309</v>
      </c>
      <c r="D142" s="33"/>
      <c r="E142" s="33"/>
      <c r="F142" s="33"/>
      <c r="G142" s="33"/>
      <c r="H142" s="57"/>
      <c r="J142" s="169"/>
      <c r="K142" s="169"/>
      <c r="L142" s="169"/>
      <c r="M142" s="40"/>
      <c r="N142" s="40"/>
      <c r="O142" s="250"/>
      <c r="Q142" s="45"/>
      <c r="R142" s="59"/>
      <c r="S142" s="98"/>
      <c r="T142" s="35"/>
      <c r="U142" s="35"/>
      <c r="V142" s="177"/>
      <c r="W142" s="177"/>
      <c r="X142" s="59"/>
      <c r="Y142" s="35"/>
      <c r="Z142" s="59"/>
      <c r="AA142" s="178"/>
      <c r="AB142" s="59"/>
      <c r="AC142" s="59"/>
      <c r="AD142" s="59"/>
      <c r="AE142" s="59"/>
      <c r="AF142" s="178"/>
      <c r="AG142" s="59"/>
      <c r="AH142" s="104"/>
      <c r="AI142" s="35"/>
      <c r="AJ142" s="35"/>
      <c r="AK142" s="36"/>
      <c r="AL142" s="36"/>
      <c r="AM142" s="36"/>
      <c r="AN142" s="36"/>
      <c r="AO142" s="36"/>
      <c r="AP142" s="36"/>
      <c r="AQ142" s="36"/>
      <c r="AR142" s="36"/>
      <c r="AS142" s="36"/>
      <c r="AT142" s="36"/>
      <c r="AU142" s="36"/>
      <c r="AV142" s="36"/>
      <c r="AW142" s="36"/>
      <c r="AX142" s="36"/>
      <c r="AY142" s="36"/>
      <c r="AZ142" s="36"/>
      <c r="BA142" s="36"/>
      <c r="BB142" s="36"/>
    </row>
    <row r="143" spans="1:56" s="30" customFormat="1" ht="15" x14ac:dyDescent="0.2">
      <c r="B143" s="52" t="s">
        <v>146</v>
      </c>
      <c r="C143" s="155"/>
      <c r="D143" s="81" t="s">
        <v>5</v>
      </c>
      <c r="G143" s="33"/>
      <c r="H143" s="81"/>
      <c r="J143" s="32"/>
      <c r="O143" s="258"/>
      <c r="P143" s="67"/>
      <c r="Q143" s="104"/>
      <c r="R143" s="94"/>
      <c r="S143" s="104"/>
      <c r="T143" s="48" t="str">
        <f>IF(ISNUMBER(C138),C138,"")</f>
        <v/>
      </c>
      <c r="U143" s="62" t="str">
        <f>IF(D144="h","",IF(ISNUMBER(C144),C144,""))</f>
        <v/>
      </c>
      <c r="V143" s="48" t="str">
        <f>IF(ISNUMBER(T143),IF(D143="h",C143,IF(ISNUMBER(T143*U143),IF(D143="m3/h",T143/U143,T143*U143),"")),"")</f>
        <v/>
      </c>
      <c r="W143" s="35"/>
      <c r="X143" s="35"/>
      <c r="Y143" s="35"/>
      <c r="Z143" s="35"/>
      <c r="AA143" s="35"/>
      <c r="AB143" s="35"/>
      <c r="AC143" s="35"/>
      <c r="AD143" s="35"/>
      <c r="AE143" s="35"/>
      <c r="AF143" s="35"/>
      <c r="AG143" s="35"/>
      <c r="AH143" s="104"/>
      <c r="AI143" s="104"/>
      <c r="AJ143" s="35"/>
      <c r="AK143" s="35"/>
      <c r="AL143" s="35"/>
      <c r="AM143" s="36"/>
      <c r="AN143" s="36"/>
      <c r="AO143" s="36"/>
      <c r="AP143" s="36"/>
      <c r="AQ143" s="36"/>
      <c r="AR143" s="36"/>
      <c r="AS143" s="36"/>
      <c r="AT143" s="36"/>
      <c r="AU143" s="36"/>
      <c r="AV143" s="36"/>
      <c r="AW143" s="36"/>
      <c r="AX143" s="36"/>
      <c r="AY143" s="36"/>
      <c r="AZ143" s="36"/>
      <c r="BA143" s="36"/>
      <c r="BB143" s="36"/>
      <c r="BC143" s="54"/>
      <c r="BD143" s="54"/>
    </row>
    <row r="144" spans="1:56" s="30" customFormat="1" ht="30" x14ac:dyDescent="0.2">
      <c r="B144" s="76" t="s">
        <v>462</v>
      </c>
      <c r="C144" s="189"/>
      <c r="D144" s="86" t="s">
        <v>193</v>
      </c>
      <c r="G144" s="33"/>
      <c r="H144" s="81"/>
      <c r="J144" s="32"/>
      <c r="O144" s="258"/>
      <c r="P144" s="67"/>
      <c r="Q144" s="104"/>
      <c r="R144" s="94"/>
      <c r="S144" s="104"/>
      <c r="T144" s="36"/>
      <c r="U144" s="35"/>
      <c r="V144" s="35"/>
      <c r="W144" s="35"/>
      <c r="X144" s="35"/>
      <c r="Y144" s="35"/>
      <c r="Z144" s="35"/>
      <c r="AA144" s="35"/>
      <c r="AB144" s="35"/>
      <c r="AC144" s="35"/>
      <c r="AD144" s="35"/>
      <c r="AE144" s="35"/>
      <c r="AF144" s="35"/>
      <c r="AG144" s="35"/>
      <c r="AH144" s="35"/>
      <c r="AI144" s="35"/>
      <c r="AJ144" s="35"/>
      <c r="AK144" s="35"/>
      <c r="AL144" s="35"/>
      <c r="AM144" s="36"/>
      <c r="AN144" s="36"/>
      <c r="AO144" s="36"/>
      <c r="AP144" s="36"/>
      <c r="AQ144" s="36"/>
      <c r="AR144" s="36"/>
      <c r="AS144" s="36"/>
      <c r="AT144" s="36"/>
      <c r="AU144" s="36"/>
      <c r="AV144" s="36"/>
      <c r="AW144" s="36"/>
      <c r="AX144" s="36"/>
      <c r="AY144" s="36"/>
      <c r="AZ144" s="36"/>
      <c r="BA144" s="36"/>
      <c r="BB144" s="36"/>
      <c r="BC144" s="54"/>
      <c r="BD144" s="54"/>
    </row>
    <row r="145" spans="1:56" s="30" customFormat="1" ht="15" x14ac:dyDescent="0.2">
      <c r="C145" s="78"/>
      <c r="D145" s="81"/>
      <c r="G145" s="33"/>
      <c r="H145" s="81"/>
      <c r="J145" s="32"/>
      <c r="O145" s="167"/>
      <c r="P145" s="67"/>
      <c r="Q145" s="104"/>
      <c r="R145" s="94"/>
      <c r="S145" s="104"/>
      <c r="T145" s="36"/>
      <c r="U145" s="35"/>
      <c r="V145" s="35"/>
      <c r="W145" s="35"/>
      <c r="X145" s="35"/>
      <c r="Y145" s="35"/>
      <c r="Z145" s="35"/>
      <c r="AA145" s="35"/>
      <c r="AB145" s="35"/>
      <c r="AC145" s="35"/>
      <c r="AD145" s="35"/>
      <c r="AE145" s="35"/>
      <c r="AF145" s="35"/>
      <c r="AG145" s="35"/>
      <c r="AH145" s="35"/>
      <c r="AI145" s="35"/>
      <c r="AJ145" s="35"/>
      <c r="AK145" s="35"/>
      <c r="AL145" s="35"/>
      <c r="AM145" s="36"/>
      <c r="AN145" s="36"/>
      <c r="AO145" s="36"/>
      <c r="AP145" s="36"/>
      <c r="AQ145" s="36"/>
      <c r="AR145" s="36"/>
      <c r="AS145" s="36"/>
      <c r="AT145" s="36"/>
      <c r="AU145" s="36"/>
      <c r="AV145" s="36"/>
      <c r="AW145" s="36"/>
      <c r="AX145" s="36"/>
      <c r="AY145" s="36"/>
      <c r="AZ145" s="36"/>
      <c r="BA145" s="36"/>
      <c r="BB145" s="36"/>
      <c r="BC145" s="54"/>
      <c r="BD145" s="54"/>
    </row>
    <row r="146" spans="1:56" ht="18" x14ac:dyDescent="0.2">
      <c r="A146" s="298"/>
      <c r="B146" s="286" t="s">
        <v>630</v>
      </c>
      <c r="C146" s="298"/>
      <c r="D146" s="297"/>
      <c r="E146" s="298"/>
      <c r="F146" s="298"/>
      <c r="G146" s="298"/>
      <c r="H146" s="297"/>
      <c r="I146" s="298"/>
      <c r="J146" s="299"/>
      <c r="K146" s="298"/>
      <c r="L146" s="298"/>
      <c r="M146" s="297"/>
      <c r="N146" s="297"/>
      <c r="O146" s="300"/>
      <c r="P146" s="304"/>
      <c r="Q146" s="298"/>
      <c r="R146" s="303"/>
      <c r="S146" s="303"/>
      <c r="T146" s="303"/>
      <c r="U146" s="302"/>
      <c r="V146" s="302"/>
      <c r="W146" s="302"/>
      <c r="X146" s="302"/>
      <c r="Y146" s="302"/>
      <c r="Z146" s="302"/>
      <c r="AA146" s="302"/>
      <c r="AB146" s="302"/>
      <c r="AC146" s="302"/>
      <c r="AD146" s="302"/>
      <c r="AE146" s="302"/>
      <c r="AF146" s="302"/>
      <c r="AG146" s="302"/>
      <c r="AH146" s="302"/>
      <c r="AI146" s="302"/>
      <c r="AJ146" s="302"/>
      <c r="AK146" s="302"/>
      <c r="AL146" s="302"/>
      <c r="AM146" s="303"/>
      <c r="AN146" s="303"/>
      <c r="AO146" s="303"/>
      <c r="AP146" s="303"/>
      <c r="AQ146" s="303"/>
      <c r="AR146" s="303"/>
      <c r="AS146" s="303"/>
      <c r="AT146" s="303"/>
      <c r="AU146" s="303"/>
      <c r="AV146" s="303"/>
      <c r="AW146" s="303"/>
      <c r="AX146" s="303"/>
      <c r="AY146" s="303"/>
      <c r="AZ146" s="303"/>
      <c r="BA146" s="303"/>
      <c r="BB146" s="303"/>
    </row>
    <row r="147" spans="1:56" s="30" customFormat="1" ht="15.75" x14ac:dyDescent="0.2">
      <c r="B147" s="8"/>
      <c r="C147" s="33"/>
      <c r="D147" s="81"/>
      <c r="G147" s="33"/>
      <c r="H147" s="81"/>
      <c r="J147" s="32"/>
      <c r="O147" s="249" t="s">
        <v>584</v>
      </c>
      <c r="P147" s="67"/>
      <c r="Q147" s="104"/>
      <c r="R147" s="141"/>
      <c r="S147" s="104"/>
      <c r="T147" s="36"/>
      <c r="U147" s="35"/>
      <c r="V147" s="35"/>
      <c r="W147" s="35"/>
      <c r="X147" s="35"/>
      <c r="Y147" s="35"/>
      <c r="Z147" s="35"/>
      <c r="AA147" s="35"/>
      <c r="AB147" s="35"/>
      <c r="AC147" s="35"/>
      <c r="AD147" s="35"/>
      <c r="AE147" s="35"/>
      <c r="AF147" s="35"/>
      <c r="AG147" s="35"/>
      <c r="AH147" s="35"/>
      <c r="AI147" s="35"/>
      <c r="AJ147" s="35"/>
      <c r="AK147" s="35"/>
      <c r="AL147" s="35"/>
      <c r="AM147" s="36"/>
      <c r="AN147" s="36"/>
      <c r="AO147" s="36"/>
      <c r="AP147" s="36"/>
      <c r="AQ147" s="36"/>
      <c r="AR147" s="36"/>
      <c r="AS147" s="36"/>
      <c r="AT147" s="36"/>
      <c r="AU147" s="36"/>
      <c r="AV147" s="36"/>
      <c r="AW147" s="36"/>
      <c r="AX147" s="36"/>
      <c r="AY147" s="36"/>
      <c r="AZ147" s="36"/>
      <c r="BA147" s="36"/>
      <c r="BB147" s="36"/>
      <c r="BC147" s="54"/>
      <c r="BD147" s="54"/>
    </row>
    <row r="148" spans="1:56" s="30" customFormat="1" ht="15" x14ac:dyDescent="0.2">
      <c r="B148" s="160" t="s">
        <v>441</v>
      </c>
      <c r="D148" s="81"/>
      <c r="H148" s="81"/>
      <c r="J148" s="32"/>
      <c r="K148" s="37" t="s">
        <v>297</v>
      </c>
      <c r="L148" s="37" t="s">
        <v>185</v>
      </c>
      <c r="M148" s="81"/>
      <c r="N148" s="81"/>
      <c r="O148" s="250"/>
      <c r="P148" s="67"/>
      <c r="Q148" s="36"/>
      <c r="R148" s="35" t="s">
        <v>318</v>
      </c>
      <c r="S148" s="35"/>
      <c r="T148" s="35" t="s">
        <v>50</v>
      </c>
      <c r="U148" s="35" t="s">
        <v>319</v>
      </c>
      <c r="V148" s="35" t="s">
        <v>320</v>
      </c>
      <c r="W148" s="104"/>
      <c r="X148" s="35"/>
      <c r="Y148" s="35"/>
      <c r="Z148" s="35"/>
      <c r="AA148" s="35"/>
      <c r="AB148" s="35"/>
      <c r="AC148" s="35"/>
      <c r="AD148" s="35"/>
      <c r="AE148" s="35"/>
      <c r="AF148" s="35"/>
      <c r="AG148" s="35"/>
      <c r="AH148" s="35"/>
      <c r="AI148" s="35"/>
      <c r="AJ148" s="35"/>
      <c r="AK148" s="36"/>
      <c r="AL148" s="36"/>
      <c r="AM148" s="36"/>
      <c r="AN148" s="36"/>
      <c r="AO148" s="36"/>
      <c r="AP148" s="36"/>
      <c r="AQ148" s="36"/>
      <c r="AR148" s="36"/>
      <c r="AS148" s="36"/>
      <c r="AT148" s="36"/>
      <c r="AU148" s="36"/>
      <c r="AV148" s="36"/>
      <c r="AW148" s="36"/>
      <c r="AX148" s="36"/>
      <c r="AY148" s="36"/>
      <c r="AZ148" s="36"/>
      <c r="BA148" s="36"/>
      <c r="BB148" s="36"/>
    </row>
    <row r="149" spans="1:56" s="30" customFormat="1" ht="15" x14ac:dyDescent="0.2">
      <c r="B149" s="52" t="s">
        <v>426</v>
      </c>
      <c r="C149" s="179"/>
      <c r="D149" s="81" t="s">
        <v>194</v>
      </c>
      <c r="H149" s="81"/>
      <c r="J149" s="32" t="s">
        <v>424</v>
      </c>
      <c r="K149" s="92" t="str">
        <f>IFERROR(IF(ISNUMBER(L149),L149,(VLOOKUP(C150,Kalusto!$C$5:$E$42,3,FALSE))*(VLOOKUP(C151,Muut!$D$40:$E$43,2,FALSE))),"--")</f>
        <v>--</v>
      </c>
      <c r="L149" s="39"/>
      <c r="M149" s="40" t="s">
        <v>189</v>
      </c>
      <c r="N149" s="40"/>
      <c r="O149" s="250"/>
      <c r="P149" s="147"/>
      <c r="Q149" s="36"/>
      <c r="R149" s="48" t="str">
        <f>IF(ISNUMBER(K149*V149),K149*V149,"")</f>
        <v/>
      </c>
      <c r="S149" s="98" t="s">
        <v>160</v>
      </c>
      <c r="T149" s="48" t="str">
        <f>IF(ISNUMBER(C149),C149,"")</f>
        <v/>
      </c>
      <c r="U149" s="62" t="str">
        <f>IF(D152="h","",IF(ISNUMBER(C152),C152,""))</f>
        <v/>
      </c>
      <c r="V149" s="48" t="str">
        <f>IF(ISNUMBER(T149),IF(D152="h",C152,IF(ISNUMBER(T149*U149),IF(D152="m3/h",T149/U149,T149*U149),"")),"")</f>
        <v/>
      </c>
      <c r="W149" s="104"/>
      <c r="X149" s="59"/>
      <c r="Y149" s="35"/>
      <c r="Z149" s="35"/>
      <c r="AA149" s="60"/>
      <c r="AB149" s="35"/>
      <c r="AC149" s="35"/>
      <c r="AD149" s="35"/>
      <c r="AE149" s="35"/>
      <c r="AF149" s="35"/>
      <c r="AG149" s="35"/>
      <c r="AH149" s="35"/>
      <c r="AI149" s="35"/>
      <c r="AJ149" s="35"/>
      <c r="AK149" s="36"/>
      <c r="AL149" s="36"/>
      <c r="AM149" s="36"/>
      <c r="AN149" s="36"/>
      <c r="AO149" s="36"/>
      <c r="AP149" s="36"/>
      <c r="AQ149" s="36"/>
      <c r="AR149" s="36"/>
      <c r="AS149" s="36"/>
      <c r="AT149" s="36"/>
      <c r="AU149" s="36"/>
      <c r="AV149" s="36"/>
      <c r="AW149" s="36"/>
      <c r="AX149" s="36"/>
      <c r="AY149" s="36"/>
      <c r="AZ149" s="36"/>
      <c r="BA149" s="36"/>
      <c r="BB149" s="36"/>
    </row>
    <row r="150" spans="1:56" s="30" customFormat="1" ht="15" x14ac:dyDescent="0.2">
      <c r="B150" s="52" t="s">
        <v>461</v>
      </c>
      <c r="C150" s="471" t="s">
        <v>300</v>
      </c>
      <c r="D150" s="472"/>
      <c r="E150" s="472"/>
      <c r="F150" s="472"/>
      <c r="G150" s="473"/>
      <c r="H150" s="81"/>
      <c r="J150" s="32"/>
      <c r="M150" s="81"/>
      <c r="N150" s="81"/>
      <c r="O150" s="251"/>
      <c r="P150" s="67"/>
      <c r="Q150" s="36"/>
      <c r="R150" s="35"/>
      <c r="S150" s="35"/>
      <c r="T150" s="35"/>
      <c r="U150" s="35"/>
      <c r="V150" s="35"/>
      <c r="W150" s="104"/>
      <c r="X150" s="35"/>
      <c r="Y150" s="35"/>
      <c r="Z150" s="35"/>
      <c r="AA150" s="35"/>
      <c r="AB150" s="35"/>
      <c r="AC150" s="35"/>
      <c r="AD150" s="35"/>
      <c r="AE150" s="35"/>
      <c r="AF150" s="35"/>
      <c r="AG150" s="35"/>
      <c r="AH150" s="35"/>
      <c r="AI150" s="35"/>
      <c r="AJ150" s="35"/>
      <c r="AK150" s="36"/>
      <c r="AL150" s="36"/>
      <c r="AM150" s="36"/>
      <c r="AN150" s="36"/>
      <c r="AO150" s="36"/>
      <c r="AP150" s="36"/>
      <c r="AQ150" s="36"/>
      <c r="AR150" s="36"/>
      <c r="AS150" s="36"/>
      <c r="AT150" s="36"/>
      <c r="AU150" s="36"/>
      <c r="AV150" s="36"/>
      <c r="AW150" s="36"/>
      <c r="AX150" s="36"/>
      <c r="AY150" s="36"/>
      <c r="AZ150" s="36"/>
      <c r="BA150" s="36"/>
      <c r="BB150" s="36"/>
    </row>
    <row r="151" spans="1:56" s="30" customFormat="1" ht="15" x14ac:dyDescent="0.2">
      <c r="B151" s="166" t="s">
        <v>460</v>
      </c>
      <c r="C151" s="156" t="s">
        <v>309</v>
      </c>
      <c r="D151" s="33"/>
      <c r="E151" s="33"/>
      <c r="F151" s="33"/>
      <c r="G151" s="33"/>
      <c r="H151" s="57"/>
      <c r="J151" s="169"/>
      <c r="K151" s="169"/>
      <c r="L151" s="169"/>
      <c r="M151" s="40"/>
      <c r="N151" s="40"/>
      <c r="O151" s="250"/>
      <c r="Q151" s="45"/>
      <c r="R151" s="59"/>
      <c r="S151" s="98"/>
      <c r="T151" s="35"/>
      <c r="U151" s="35"/>
      <c r="V151" s="177"/>
      <c r="W151" s="177"/>
      <c r="X151" s="59"/>
      <c r="Y151" s="35"/>
      <c r="Z151" s="59"/>
      <c r="AA151" s="178"/>
      <c r="AB151" s="59"/>
      <c r="AC151" s="59"/>
      <c r="AD151" s="59"/>
      <c r="AE151" s="59"/>
      <c r="AF151" s="178"/>
      <c r="AG151" s="59"/>
      <c r="AH151" s="104"/>
      <c r="AI151" s="35"/>
      <c r="AJ151" s="35"/>
      <c r="AK151" s="36"/>
      <c r="AL151" s="36"/>
      <c r="AM151" s="36"/>
      <c r="AN151" s="36"/>
      <c r="AO151" s="36"/>
      <c r="AP151" s="36"/>
      <c r="AQ151" s="36"/>
      <c r="AR151" s="36"/>
      <c r="AS151" s="36"/>
      <c r="AT151" s="36"/>
      <c r="AU151" s="36"/>
      <c r="AV151" s="36"/>
      <c r="AW151" s="36"/>
      <c r="AX151" s="36"/>
      <c r="AY151" s="36"/>
      <c r="AZ151" s="36"/>
      <c r="BA151" s="36"/>
      <c r="BB151" s="36"/>
    </row>
    <row r="152" spans="1:56" s="30" customFormat="1" ht="30" x14ac:dyDescent="0.2">
      <c r="B152" s="76" t="s">
        <v>462</v>
      </c>
      <c r="C152" s="180"/>
      <c r="D152" s="86" t="s">
        <v>193</v>
      </c>
      <c r="H152" s="81"/>
      <c r="J152" s="32"/>
      <c r="M152" s="81"/>
      <c r="N152" s="81"/>
      <c r="O152" s="251"/>
      <c r="P152" s="145"/>
      <c r="Q152" s="101"/>
      <c r="R152" s="35"/>
      <c r="S152" s="35"/>
      <c r="T152" s="35"/>
      <c r="U152" s="35"/>
      <c r="V152" s="35"/>
      <c r="W152" s="104"/>
      <c r="X152" s="35"/>
      <c r="Y152" s="35"/>
      <c r="Z152" s="35"/>
      <c r="AA152" s="35"/>
      <c r="AB152" s="35"/>
      <c r="AC152" s="35"/>
      <c r="AD152" s="35"/>
      <c r="AE152" s="35"/>
      <c r="AF152" s="35"/>
      <c r="AG152" s="35"/>
      <c r="AH152" s="35"/>
      <c r="AI152" s="35"/>
      <c r="AJ152" s="35"/>
      <c r="AK152" s="36"/>
      <c r="AL152" s="36"/>
      <c r="AM152" s="36"/>
      <c r="AN152" s="36"/>
      <c r="AO152" s="36"/>
      <c r="AP152" s="36"/>
      <c r="AQ152" s="36"/>
      <c r="AR152" s="36"/>
      <c r="AS152" s="36"/>
      <c r="AT152" s="36"/>
      <c r="AU152" s="36"/>
      <c r="AV152" s="36"/>
      <c r="AW152" s="36"/>
      <c r="AX152" s="36"/>
      <c r="AY152" s="36"/>
      <c r="AZ152" s="36"/>
      <c r="BA152" s="36"/>
      <c r="BB152" s="36"/>
    </row>
    <row r="153" spans="1:56" s="30" customFormat="1" ht="15" x14ac:dyDescent="0.2">
      <c r="D153" s="81"/>
      <c r="H153" s="81"/>
      <c r="J153" s="32"/>
      <c r="M153" s="81"/>
      <c r="N153" s="81"/>
      <c r="O153" s="251"/>
      <c r="P153" s="67"/>
      <c r="Q153" s="36"/>
      <c r="R153" s="35"/>
      <c r="S153" s="35"/>
      <c r="T153" s="35"/>
      <c r="U153" s="35"/>
      <c r="V153" s="35"/>
      <c r="W153" s="104"/>
      <c r="X153" s="35"/>
      <c r="Y153" s="35"/>
      <c r="Z153" s="35"/>
      <c r="AA153" s="35"/>
      <c r="AB153" s="35"/>
      <c r="AC153" s="35"/>
      <c r="AD153" s="35"/>
      <c r="AE153" s="35"/>
      <c r="AF153" s="35"/>
      <c r="AG153" s="35"/>
      <c r="AH153" s="35"/>
      <c r="AI153" s="35"/>
      <c r="AJ153" s="35"/>
      <c r="AK153" s="36"/>
      <c r="AL153" s="36"/>
      <c r="AM153" s="36"/>
      <c r="AN153" s="36"/>
      <c r="AO153" s="36"/>
      <c r="AP153" s="36"/>
      <c r="AQ153" s="36"/>
      <c r="AR153" s="36"/>
      <c r="AS153" s="36"/>
      <c r="AT153" s="36"/>
      <c r="AU153" s="36"/>
      <c r="AV153" s="36"/>
      <c r="AW153" s="36"/>
      <c r="AX153" s="36"/>
      <c r="AY153" s="36"/>
      <c r="AZ153" s="36"/>
      <c r="BA153" s="36"/>
      <c r="BB153" s="36"/>
    </row>
    <row r="154" spans="1:56" s="30" customFormat="1" ht="15" x14ac:dyDescent="0.2">
      <c r="B154" s="160" t="s">
        <v>442</v>
      </c>
      <c r="D154" s="81"/>
      <c r="H154" s="81"/>
      <c r="J154" s="32"/>
      <c r="K154" s="37" t="s">
        <v>297</v>
      </c>
      <c r="L154" s="37" t="s">
        <v>185</v>
      </c>
      <c r="M154" s="81"/>
      <c r="N154" s="81"/>
      <c r="O154" s="251"/>
      <c r="P154" s="67"/>
      <c r="Q154" s="36"/>
      <c r="R154" s="35" t="s">
        <v>318</v>
      </c>
      <c r="S154" s="35"/>
      <c r="T154" s="35" t="s">
        <v>50</v>
      </c>
      <c r="U154" s="35" t="s">
        <v>319</v>
      </c>
      <c r="V154" s="35" t="s">
        <v>320</v>
      </c>
      <c r="W154" s="104"/>
      <c r="X154" s="35"/>
      <c r="Y154" s="35"/>
      <c r="Z154" s="35"/>
      <c r="AA154" s="35"/>
      <c r="AB154" s="35"/>
      <c r="AC154" s="35"/>
      <c r="AD154" s="35"/>
      <c r="AE154" s="35"/>
      <c r="AF154" s="35"/>
      <c r="AG154" s="35"/>
      <c r="AH154" s="35"/>
      <c r="AI154" s="35"/>
      <c r="AJ154" s="35"/>
      <c r="AK154" s="36"/>
      <c r="AL154" s="36"/>
      <c r="AM154" s="36"/>
      <c r="AN154" s="36"/>
      <c r="AO154" s="36"/>
      <c r="AP154" s="36"/>
      <c r="AQ154" s="36"/>
      <c r="AR154" s="36"/>
      <c r="AS154" s="36"/>
      <c r="AT154" s="36"/>
      <c r="AU154" s="36"/>
      <c r="AV154" s="36"/>
      <c r="AW154" s="36"/>
      <c r="AX154" s="36"/>
      <c r="AY154" s="36"/>
      <c r="AZ154" s="36"/>
      <c r="BA154" s="36"/>
      <c r="BB154" s="36"/>
    </row>
    <row r="155" spans="1:56" s="30" customFormat="1" ht="15" x14ac:dyDescent="0.2">
      <c r="B155" s="52" t="s">
        <v>426</v>
      </c>
      <c r="C155" s="179"/>
      <c r="D155" s="81" t="s">
        <v>194</v>
      </c>
      <c r="H155" s="81"/>
      <c r="J155" s="32" t="s">
        <v>424</v>
      </c>
      <c r="K155" s="92" t="str">
        <f>IFERROR(IF(ISNUMBER(L155),L155,(VLOOKUP(C156,Kalusto!$C$5:$E$42,3,FALSE))*(VLOOKUP(C157,Muut!$D$40:$E$43,2,FALSE))),"--")</f>
        <v>--</v>
      </c>
      <c r="L155" s="39"/>
      <c r="M155" s="40" t="s">
        <v>189</v>
      </c>
      <c r="N155" s="40"/>
      <c r="O155" s="250"/>
      <c r="P155" s="147"/>
      <c r="Q155" s="36"/>
      <c r="R155" s="48" t="str">
        <f>IF(ISNUMBER(K155*V155),K155*V155,"")</f>
        <v/>
      </c>
      <c r="S155" s="98" t="s">
        <v>160</v>
      </c>
      <c r="T155" s="48" t="str">
        <f>IF(ISNUMBER(C155),C155,"")</f>
        <v/>
      </c>
      <c r="U155" s="62" t="str">
        <f>IF(D158="h","",IF(ISNUMBER(C158),C158,""))</f>
        <v/>
      </c>
      <c r="V155" s="48" t="str">
        <f>IF(ISNUMBER(T155),IF(D158="h",C158,IF(ISNUMBER(T155*U155),IF(D158="m3/h",T155/U155,T155*U155),"")),"")</f>
        <v/>
      </c>
      <c r="W155" s="104"/>
      <c r="X155" s="59"/>
      <c r="Y155" s="35"/>
      <c r="Z155" s="35"/>
      <c r="AA155" s="60"/>
      <c r="AB155" s="35"/>
      <c r="AC155" s="35"/>
      <c r="AD155" s="35"/>
      <c r="AE155" s="35"/>
      <c r="AF155" s="35"/>
      <c r="AG155" s="35"/>
      <c r="AH155" s="35"/>
      <c r="AI155" s="35"/>
      <c r="AJ155" s="35"/>
      <c r="AK155" s="36"/>
      <c r="AL155" s="36"/>
      <c r="AM155" s="36"/>
      <c r="AN155" s="36"/>
      <c r="AO155" s="36"/>
      <c r="AP155" s="36"/>
      <c r="AQ155" s="36"/>
      <c r="AR155" s="36"/>
      <c r="AS155" s="36"/>
      <c r="AT155" s="36"/>
      <c r="AU155" s="36"/>
      <c r="AV155" s="36"/>
      <c r="AW155" s="36"/>
      <c r="AX155" s="36"/>
      <c r="AY155" s="36"/>
      <c r="AZ155" s="36"/>
      <c r="BA155" s="36"/>
      <c r="BB155" s="36"/>
    </row>
    <row r="156" spans="1:56" s="30" customFormat="1" ht="15" x14ac:dyDescent="0.2">
      <c r="B156" s="52" t="s">
        <v>461</v>
      </c>
      <c r="C156" s="471" t="s">
        <v>300</v>
      </c>
      <c r="D156" s="472"/>
      <c r="E156" s="472"/>
      <c r="F156" s="472"/>
      <c r="G156" s="473"/>
      <c r="H156" s="81"/>
      <c r="J156" s="32"/>
      <c r="M156" s="81"/>
      <c r="N156" s="81"/>
      <c r="O156" s="251"/>
      <c r="P156" s="67"/>
      <c r="Q156" s="36"/>
      <c r="R156" s="35"/>
      <c r="S156" s="35"/>
      <c r="T156" s="35"/>
      <c r="U156" s="35"/>
      <c r="V156" s="35"/>
      <c r="W156" s="104"/>
      <c r="X156" s="35"/>
      <c r="Y156" s="35"/>
      <c r="Z156" s="35"/>
      <c r="AA156" s="35"/>
      <c r="AB156" s="35"/>
      <c r="AC156" s="35"/>
      <c r="AD156" s="35"/>
      <c r="AE156" s="35"/>
      <c r="AF156" s="35"/>
      <c r="AG156" s="35"/>
      <c r="AH156" s="35"/>
      <c r="AI156" s="35"/>
      <c r="AJ156" s="35"/>
      <c r="AK156" s="36"/>
      <c r="AL156" s="36"/>
      <c r="AM156" s="36"/>
      <c r="AN156" s="36"/>
      <c r="AO156" s="36"/>
      <c r="AP156" s="36"/>
      <c r="AQ156" s="36"/>
      <c r="AR156" s="36"/>
      <c r="AS156" s="36"/>
      <c r="AT156" s="36"/>
      <c r="AU156" s="36"/>
      <c r="AV156" s="36"/>
      <c r="AW156" s="36"/>
      <c r="AX156" s="36"/>
      <c r="AY156" s="36"/>
      <c r="AZ156" s="36"/>
      <c r="BA156" s="36"/>
      <c r="BB156" s="36"/>
    </row>
    <row r="157" spans="1:56" s="30" customFormat="1" ht="15" x14ac:dyDescent="0.2">
      <c r="B157" s="166" t="s">
        <v>460</v>
      </c>
      <c r="C157" s="156" t="s">
        <v>309</v>
      </c>
      <c r="D157" s="33"/>
      <c r="E157" s="33"/>
      <c r="F157" s="33"/>
      <c r="G157" s="33"/>
      <c r="H157" s="57"/>
      <c r="J157" s="169"/>
      <c r="K157" s="169"/>
      <c r="L157" s="169"/>
      <c r="M157" s="40"/>
      <c r="N157" s="40"/>
      <c r="O157" s="250"/>
      <c r="Q157" s="45"/>
      <c r="R157" s="59"/>
      <c r="S157" s="98"/>
      <c r="T157" s="35"/>
      <c r="U157" s="35"/>
      <c r="V157" s="177"/>
      <c r="W157" s="177"/>
      <c r="X157" s="59"/>
      <c r="Y157" s="35"/>
      <c r="Z157" s="59"/>
      <c r="AA157" s="178"/>
      <c r="AB157" s="59"/>
      <c r="AC157" s="59"/>
      <c r="AD157" s="59"/>
      <c r="AE157" s="59"/>
      <c r="AF157" s="178"/>
      <c r="AG157" s="59"/>
      <c r="AH157" s="104"/>
      <c r="AI157" s="35"/>
      <c r="AJ157" s="35"/>
      <c r="AK157" s="36"/>
      <c r="AL157" s="36"/>
      <c r="AM157" s="36"/>
      <c r="AN157" s="36"/>
      <c r="AO157" s="36"/>
      <c r="AP157" s="36"/>
      <c r="AQ157" s="36"/>
      <c r="AR157" s="36"/>
      <c r="AS157" s="36"/>
      <c r="AT157" s="36"/>
      <c r="AU157" s="36"/>
      <c r="AV157" s="36"/>
      <c r="AW157" s="36"/>
      <c r="AX157" s="36"/>
      <c r="AY157" s="36"/>
      <c r="AZ157" s="36"/>
      <c r="BA157" s="36"/>
      <c r="BB157" s="36"/>
    </row>
    <row r="158" spans="1:56" s="30" customFormat="1" ht="30" x14ac:dyDescent="0.2">
      <c r="B158" s="76" t="s">
        <v>462</v>
      </c>
      <c r="C158" s="180"/>
      <c r="D158" s="86" t="s">
        <v>193</v>
      </c>
      <c r="H158" s="81"/>
      <c r="J158" s="32"/>
      <c r="M158" s="81"/>
      <c r="N158" s="81"/>
      <c r="O158" s="251"/>
      <c r="P158" s="145"/>
      <c r="Q158" s="101"/>
      <c r="R158" s="35"/>
      <c r="S158" s="35"/>
      <c r="T158" s="35"/>
      <c r="U158" s="35"/>
      <c r="V158" s="35"/>
      <c r="W158" s="104"/>
      <c r="X158" s="35"/>
      <c r="Y158" s="35"/>
      <c r="Z158" s="35"/>
      <c r="AA158" s="35"/>
      <c r="AB158" s="35"/>
      <c r="AC158" s="35"/>
      <c r="AD158" s="35"/>
      <c r="AE158" s="35"/>
      <c r="AF158" s="35"/>
      <c r="AG158" s="35"/>
      <c r="AH158" s="35"/>
      <c r="AI158" s="35"/>
      <c r="AJ158" s="35"/>
      <c r="AK158" s="36"/>
      <c r="AL158" s="36"/>
      <c r="AM158" s="36"/>
      <c r="AN158" s="36"/>
      <c r="AO158" s="36"/>
      <c r="AP158" s="36"/>
      <c r="AQ158" s="36"/>
      <c r="AR158" s="36"/>
      <c r="AS158" s="36"/>
      <c r="AT158" s="36"/>
      <c r="AU158" s="36"/>
      <c r="AV158" s="36"/>
      <c r="AW158" s="36"/>
      <c r="AX158" s="36"/>
      <c r="AY158" s="36"/>
      <c r="AZ158" s="36"/>
      <c r="BA158" s="36"/>
      <c r="BB158" s="36"/>
    </row>
    <row r="159" spans="1:56" s="30" customFormat="1" ht="15" x14ac:dyDescent="0.2">
      <c r="B159" s="76"/>
      <c r="C159" s="63"/>
      <c r="D159" s="81"/>
      <c r="E159" s="57"/>
      <c r="H159" s="81"/>
      <c r="J159" s="32"/>
      <c r="M159" s="81"/>
      <c r="N159" s="81"/>
      <c r="O159" s="249"/>
      <c r="P159" s="145"/>
      <c r="Q159" s="101"/>
      <c r="R159" s="35"/>
      <c r="S159" s="35"/>
      <c r="T159" s="35"/>
      <c r="U159" s="35"/>
      <c r="V159" s="35"/>
      <c r="W159" s="104"/>
      <c r="X159" s="35"/>
      <c r="Y159" s="35"/>
      <c r="Z159" s="35"/>
      <c r="AA159" s="35"/>
      <c r="AB159" s="35"/>
      <c r="AC159" s="35"/>
      <c r="AD159" s="35"/>
      <c r="AE159" s="35"/>
      <c r="AF159" s="35"/>
      <c r="AG159" s="35"/>
      <c r="AH159" s="35"/>
      <c r="AI159" s="35"/>
      <c r="AJ159" s="35"/>
      <c r="AK159" s="36"/>
      <c r="AL159" s="36"/>
      <c r="AM159" s="36"/>
      <c r="AN159" s="36"/>
      <c r="AO159" s="36"/>
      <c r="AP159" s="36"/>
      <c r="AQ159" s="36"/>
      <c r="AR159" s="36"/>
      <c r="AS159" s="36"/>
      <c r="AT159" s="36"/>
      <c r="AU159" s="36"/>
      <c r="AV159" s="36"/>
      <c r="AW159" s="36"/>
      <c r="AX159" s="36"/>
      <c r="AY159" s="36"/>
      <c r="AZ159" s="36"/>
      <c r="BA159" s="36"/>
      <c r="BB159" s="36"/>
    </row>
    <row r="160" spans="1:56" ht="18" x14ac:dyDescent="0.2">
      <c r="A160" s="298"/>
      <c r="B160" s="286" t="s">
        <v>39</v>
      </c>
      <c r="C160" s="298"/>
      <c r="D160" s="297"/>
      <c r="E160" s="298"/>
      <c r="F160" s="298"/>
      <c r="G160" s="298"/>
      <c r="H160" s="297"/>
      <c r="I160" s="298"/>
      <c r="J160" s="299"/>
      <c r="K160" s="298"/>
      <c r="L160" s="298"/>
      <c r="M160" s="297"/>
      <c r="N160" s="297"/>
      <c r="O160" s="300"/>
      <c r="P160" s="304"/>
      <c r="Q160" s="298"/>
      <c r="R160" s="303"/>
      <c r="S160" s="303"/>
      <c r="T160" s="303"/>
      <c r="U160" s="302"/>
      <c r="V160" s="302"/>
      <c r="W160" s="302"/>
      <c r="X160" s="302"/>
      <c r="Y160" s="302"/>
      <c r="Z160" s="302"/>
      <c r="AA160" s="302"/>
      <c r="AB160" s="302"/>
      <c r="AC160" s="302"/>
      <c r="AD160" s="302"/>
      <c r="AE160" s="302"/>
      <c r="AF160" s="302"/>
      <c r="AG160" s="302"/>
      <c r="AH160" s="302"/>
      <c r="AI160" s="302"/>
      <c r="AJ160" s="302"/>
      <c r="AK160" s="302"/>
      <c r="AL160" s="302"/>
      <c r="AM160" s="303"/>
      <c r="AN160" s="303"/>
      <c r="AO160" s="303"/>
      <c r="AP160" s="303"/>
      <c r="AQ160" s="303"/>
      <c r="AR160" s="303"/>
      <c r="AS160" s="303"/>
      <c r="AT160" s="303"/>
      <c r="AU160" s="303"/>
      <c r="AV160" s="303"/>
      <c r="AW160" s="303"/>
      <c r="AX160" s="303"/>
      <c r="AY160" s="303"/>
      <c r="AZ160" s="303"/>
      <c r="BA160" s="303"/>
      <c r="BB160" s="303"/>
    </row>
    <row r="161" spans="1:56" s="30" customFormat="1" ht="13.9" customHeight="1" x14ac:dyDescent="0.2">
      <c r="B161" s="8"/>
      <c r="C161" s="70"/>
      <c r="D161" s="81"/>
      <c r="G161" s="33"/>
      <c r="H161" s="81"/>
      <c r="J161" s="32"/>
      <c r="K161" s="37" t="s">
        <v>297</v>
      </c>
      <c r="L161" s="37" t="s">
        <v>185</v>
      </c>
      <c r="O161" s="249" t="s">
        <v>584</v>
      </c>
      <c r="P161" s="67"/>
      <c r="Q161" s="104"/>
      <c r="R161" s="35" t="s">
        <v>318</v>
      </c>
      <c r="S161" s="104"/>
      <c r="T161" s="36"/>
      <c r="U161" s="35"/>
      <c r="V161" s="35" t="s">
        <v>320</v>
      </c>
      <c r="W161" s="59"/>
      <c r="X161" s="35"/>
      <c r="Y161" s="35"/>
      <c r="Z161" s="35"/>
      <c r="AA161" s="35"/>
      <c r="AB161" s="35"/>
      <c r="AC161" s="35"/>
      <c r="AD161" s="35"/>
      <c r="AE161" s="35"/>
      <c r="AF161" s="35"/>
      <c r="AG161" s="35"/>
      <c r="AH161" s="35"/>
      <c r="AI161" s="35"/>
      <c r="AJ161" s="35"/>
      <c r="AK161" s="35"/>
      <c r="AL161" s="35"/>
      <c r="AM161" s="36"/>
      <c r="AN161" s="36"/>
      <c r="AO161" s="36"/>
      <c r="AP161" s="36"/>
      <c r="AQ161" s="36"/>
      <c r="AR161" s="36"/>
      <c r="AS161" s="36"/>
      <c r="AT161" s="36"/>
      <c r="AU161" s="36"/>
      <c r="AV161" s="36"/>
      <c r="AW161" s="36"/>
      <c r="AX161" s="36"/>
      <c r="AY161" s="36"/>
      <c r="AZ161" s="36"/>
      <c r="BA161" s="36"/>
      <c r="BB161" s="36"/>
      <c r="BC161" s="54"/>
      <c r="BD161" s="54"/>
    </row>
    <row r="162" spans="1:56" s="30" customFormat="1" ht="15" x14ac:dyDescent="0.2">
      <c r="B162" s="52" t="s">
        <v>427</v>
      </c>
      <c r="C162" s="152"/>
      <c r="D162" s="81" t="s">
        <v>51</v>
      </c>
      <c r="G162" s="33"/>
      <c r="H162" s="81"/>
      <c r="J162" s="32" t="s">
        <v>424</v>
      </c>
      <c r="K162" s="92" t="str">
        <f>IFERROR(IF(ISNUMBER(L162),L162,(Kalusto!$E$9*(VLOOKUP(C163,Muut!$D$40:$E$43,2,FALSE)))),"--")</f>
        <v>--</v>
      </c>
      <c r="L162" s="61"/>
      <c r="M162" s="40" t="s">
        <v>189</v>
      </c>
      <c r="N162" s="40"/>
      <c r="O162" s="250" t="s">
        <v>749</v>
      </c>
      <c r="P162" s="67"/>
      <c r="Q162" s="104"/>
      <c r="R162" s="103" t="str">
        <f>IF(ISNUMBER(K162*V162),K162*V162,"")</f>
        <v/>
      </c>
      <c r="S162" s="98" t="s">
        <v>160</v>
      </c>
      <c r="T162" s="36"/>
      <c r="U162" s="35"/>
      <c r="V162" s="48" t="str">
        <f>IF(ISNUMBER(C162),C162,"")</f>
        <v/>
      </c>
      <c r="W162" s="59"/>
      <c r="X162" s="35"/>
      <c r="Y162" s="35"/>
      <c r="Z162" s="35"/>
      <c r="AA162" s="35"/>
      <c r="AB162" s="35"/>
      <c r="AC162" s="35"/>
      <c r="AD162" s="35"/>
      <c r="AE162" s="35"/>
      <c r="AF162" s="35"/>
      <c r="AG162" s="35"/>
      <c r="AH162" s="35"/>
      <c r="AI162" s="35"/>
      <c r="AJ162" s="35"/>
      <c r="AK162" s="35"/>
      <c r="AL162" s="35"/>
      <c r="AM162" s="36"/>
      <c r="AN162" s="36"/>
      <c r="AO162" s="36"/>
      <c r="AP162" s="36"/>
      <c r="AQ162" s="36"/>
      <c r="AR162" s="36"/>
      <c r="AS162" s="36"/>
      <c r="AT162" s="36"/>
      <c r="AU162" s="36"/>
      <c r="AV162" s="36"/>
      <c r="AW162" s="36"/>
      <c r="AX162" s="36"/>
      <c r="AY162" s="36"/>
      <c r="AZ162" s="36"/>
      <c r="BA162" s="36"/>
      <c r="BB162" s="36"/>
      <c r="BC162" s="54"/>
      <c r="BD162" s="54"/>
    </row>
    <row r="163" spans="1:56" s="30" customFormat="1" ht="15" x14ac:dyDescent="0.2">
      <c r="B163" s="166" t="s">
        <v>460</v>
      </c>
      <c r="C163" s="156" t="s">
        <v>309</v>
      </c>
      <c r="D163" s="33"/>
      <c r="E163" s="33"/>
      <c r="F163" s="33"/>
      <c r="G163" s="33"/>
      <c r="H163" s="57"/>
      <c r="J163" s="169"/>
      <c r="K163" s="169"/>
      <c r="L163" s="169"/>
      <c r="M163" s="40"/>
      <c r="N163" s="40"/>
      <c r="O163" s="250"/>
      <c r="Q163" s="45"/>
      <c r="R163" s="59"/>
      <c r="S163" s="98"/>
      <c r="T163" s="35"/>
      <c r="U163" s="35"/>
      <c r="V163" s="177"/>
      <c r="W163" s="177"/>
      <c r="X163" s="59"/>
      <c r="Y163" s="35"/>
      <c r="Z163" s="59"/>
      <c r="AA163" s="178"/>
      <c r="AB163" s="59"/>
      <c r="AC163" s="59"/>
      <c r="AD163" s="59"/>
      <c r="AE163" s="59"/>
      <c r="AF163" s="178"/>
      <c r="AG163" s="59"/>
      <c r="AH163" s="104"/>
      <c r="AI163" s="35"/>
      <c r="AJ163" s="35"/>
      <c r="AK163" s="36"/>
      <c r="AL163" s="36"/>
      <c r="AM163" s="36"/>
      <c r="AN163" s="36"/>
      <c r="AO163" s="36"/>
      <c r="AP163" s="36"/>
      <c r="AQ163" s="36"/>
      <c r="AR163" s="36"/>
      <c r="AS163" s="36"/>
      <c r="AT163" s="36"/>
      <c r="AU163" s="36"/>
      <c r="AV163" s="36"/>
      <c r="AW163" s="36"/>
      <c r="AX163" s="36"/>
      <c r="AY163" s="36"/>
      <c r="AZ163" s="36"/>
      <c r="BA163" s="36"/>
      <c r="BB163" s="36"/>
    </row>
    <row r="164" spans="1:56" s="30" customFormat="1" ht="13.9" customHeight="1" x14ac:dyDescent="0.2">
      <c r="B164" s="52"/>
      <c r="C164" s="66"/>
      <c r="D164" s="81"/>
      <c r="G164" s="33"/>
      <c r="H164" s="81"/>
      <c r="J164" s="32"/>
      <c r="K164" s="58"/>
      <c r="L164" s="58"/>
      <c r="M164" s="40"/>
      <c r="N164" s="40"/>
      <c r="O164" s="250"/>
      <c r="P164" s="67"/>
      <c r="Q164" s="104"/>
      <c r="R164" s="94"/>
      <c r="S164" s="104"/>
      <c r="T164" s="36"/>
      <c r="U164" s="35"/>
      <c r="V164" s="59"/>
      <c r="W164" s="59"/>
      <c r="X164" s="35"/>
      <c r="Y164" s="35"/>
      <c r="Z164" s="35"/>
      <c r="AA164" s="35"/>
      <c r="AB164" s="35"/>
      <c r="AC164" s="35"/>
      <c r="AD164" s="35"/>
      <c r="AE164" s="35"/>
      <c r="AF164" s="35"/>
      <c r="AG164" s="35"/>
      <c r="AH164" s="35"/>
      <c r="AI164" s="35"/>
      <c r="AJ164" s="35"/>
      <c r="AK164" s="35"/>
      <c r="AL164" s="35"/>
      <c r="AM164" s="36"/>
      <c r="AN164" s="36"/>
      <c r="AO164" s="36"/>
      <c r="AP164" s="36"/>
      <c r="AQ164" s="36"/>
      <c r="AR164" s="36"/>
      <c r="AS164" s="36"/>
      <c r="AT164" s="36"/>
      <c r="AU164" s="36"/>
      <c r="AV164" s="36"/>
      <c r="AW164" s="36"/>
      <c r="AX164" s="36"/>
      <c r="AY164" s="36"/>
      <c r="AZ164" s="36"/>
      <c r="BA164" s="36"/>
      <c r="BB164" s="36"/>
      <c r="BC164" s="54"/>
      <c r="BD164" s="54"/>
    </row>
    <row r="165" spans="1:56" s="30" customFormat="1" ht="15" x14ac:dyDescent="0.2">
      <c r="B165" s="68" t="s">
        <v>261</v>
      </c>
      <c r="C165" s="149"/>
      <c r="D165" s="74"/>
      <c r="F165" s="69"/>
      <c r="G165" s="53"/>
      <c r="H165" s="97"/>
      <c r="I165" s="54"/>
      <c r="J165" s="69" t="s">
        <v>199</v>
      </c>
      <c r="O165" s="258"/>
      <c r="P165" s="67"/>
      <c r="Q165" s="104"/>
      <c r="R165" s="94"/>
      <c r="S165" s="104"/>
      <c r="T165" s="36"/>
      <c r="U165" s="35"/>
      <c r="V165" s="35"/>
      <c r="W165" s="35"/>
      <c r="X165" s="35"/>
      <c r="Y165" s="35"/>
      <c r="Z165" s="35"/>
      <c r="AA165" s="35"/>
      <c r="AB165" s="35"/>
      <c r="AC165" s="35"/>
      <c r="AD165" s="35"/>
      <c r="AE165" s="35"/>
      <c r="AF165" s="35"/>
      <c r="AG165" s="35"/>
      <c r="AH165" s="35"/>
      <c r="AI165" s="35"/>
      <c r="AJ165" s="35"/>
      <c r="AK165" s="35"/>
      <c r="AL165" s="35"/>
      <c r="AM165" s="36"/>
      <c r="AN165" s="36"/>
      <c r="AO165" s="36"/>
      <c r="AP165" s="36"/>
      <c r="AQ165" s="36"/>
      <c r="AR165" s="36"/>
      <c r="AS165" s="36"/>
      <c r="AT165" s="36"/>
      <c r="AU165" s="36"/>
      <c r="AV165" s="36"/>
      <c r="AW165" s="36"/>
      <c r="AX165" s="36"/>
      <c r="AY165" s="36"/>
      <c r="AZ165" s="36"/>
      <c r="BA165" s="36"/>
      <c r="BB165" s="36"/>
      <c r="BC165" s="54"/>
      <c r="BD165" s="54"/>
    </row>
    <row r="166" spans="1:56" s="30" customFormat="1" ht="13.9" customHeight="1" x14ac:dyDescent="0.2">
      <c r="C166" s="70"/>
      <c r="D166" s="81"/>
      <c r="G166" s="33"/>
      <c r="H166" s="81"/>
      <c r="J166" s="32"/>
      <c r="O166" s="167"/>
      <c r="P166" s="67"/>
      <c r="Q166" s="104"/>
      <c r="R166" s="94"/>
      <c r="S166" s="104"/>
      <c r="T166" s="36"/>
      <c r="U166" s="35"/>
      <c r="V166" s="35"/>
      <c r="W166" s="35"/>
      <c r="X166" s="35"/>
      <c r="Y166" s="35"/>
      <c r="Z166" s="35"/>
      <c r="AA166" s="35"/>
      <c r="AB166" s="35"/>
      <c r="AC166" s="35"/>
      <c r="AD166" s="35"/>
      <c r="AE166" s="35"/>
      <c r="AF166" s="35"/>
      <c r="AG166" s="35"/>
      <c r="AH166" s="35"/>
      <c r="AI166" s="35"/>
      <c r="AJ166" s="35"/>
      <c r="AK166" s="35"/>
      <c r="AL166" s="35"/>
      <c r="AM166" s="36"/>
      <c r="AN166" s="36"/>
      <c r="AO166" s="36"/>
      <c r="AP166" s="36"/>
      <c r="AQ166" s="36"/>
      <c r="AR166" s="36"/>
      <c r="AS166" s="36"/>
      <c r="AT166" s="36"/>
      <c r="AU166" s="36"/>
      <c r="AV166" s="36"/>
      <c r="AW166" s="36"/>
      <c r="AX166" s="36"/>
      <c r="AY166" s="36"/>
      <c r="AZ166" s="36"/>
      <c r="BA166" s="36"/>
      <c r="BB166" s="36"/>
      <c r="BC166" s="54"/>
      <c r="BD166" s="54"/>
    </row>
    <row r="167" spans="1:56" ht="18" x14ac:dyDescent="0.2">
      <c r="A167" s="298"/>
      <c r="B167" s="286" t="s">
        <v>482</v>
      </c>
      <c r="C167" s="296"/>
      <c r="D167" s="297"/>
      <c r="E167" s="298"/>
      <c r="F167" s="298"/>
      <c r="G167" s="296"/>
      <c r="H167" s="297"/>
      <c r="I167" s="298"/>
      <c r="J167" s="299"/>
      <c r="K167" s="296"/>
      <c r="L167" s="296"/>
      <c r="M167" s="297"/>
      <c r="N167" s="297"/>
      <c r="O167" s="300"/>
      <c r="P167" s="298"/>
      <c r="Q167" s="301"/>
      <c r="R167" s="302"/>
      <c r="S167" s="302"/>
      <c r="T167" s="302"/>
      <c r="U167" s="302"/>
      <c r="V167" s="302"/>
      <c r="W167" s="302"/>
      <c r="X167" s="302"/>
      <c r="Y167" s="302"/>
      <c r="Z167" s="302"/>
      <c r="AA167" s="302"/>
      <c r="AB167" s="302"/>
      <c r="AC167" s="302"/>
      <c r="AD167" s="302"/>
      <c r="AE167" s="302"/>
      <c r="AF167" s="302"/>
      <c r="AG167" s="302"/>
      <c r="AH167" s="302"/>
      <c r="AI167" s="302"/>
      <c r="AJ167" s="302"/>
      <c r="AK167" s="303"/>
      <c r="AL167" s="303"/>
      <c r="AM167" s="303"/>
      <c r="AN167" s="303"/>
      <c r="AO167" s="303"/>
      <c r="AP167" s="303"/>
      <c r="AQ167" s="303"/>
      <c r="AR167" s="303"/>
      <c r="AS167" s="303"/>
      <c r="AT167" s="303"/>
      <c r="AU167" s="303"/>
      <c r="AV167" s="303"/>
      <c r="AW167" s="303"/>
      <c r="AX167" s="303"/>
      <c r="AY167" s="303"/>
      <c r="AZ167" s="303"/>
      <c r="BA167" s="303"/>
      <c r="BB167" s="303"/>
      <c r="BC167" s="5"/>
      <c r="BD167" s="5"/>
    </row>
    <row r="168" spans="1:56" s="30" customFormat="1" ht="15.75" x14ac:dyDescent="0.2">
      <c r="B168" s="8"/>
      <c r="C168" s="33"/>
      <c r="D168" s="81"/>
      <c r="G168" s="33"/>
      <c r="H168" s="81"/>
      <c r="J168" s="32"/>
      <c r="M168" s="81"/>
      <c r="N168" s="81"/>
      <c r="O168" s="249" t="s">
        <v>584</v>
      </c>
      <c r="Q168" s="34"/>
      <c r="R168" s="35" t="s">
        <v>318</v>
      </c>
      <c r="S168" s="35"/>
      <c r="T168" s="35"/>
      <c r="U168" s="35"/>
      <c r="V168" s="35"/>
      <c r="W168" s="35"/>
      <c r="X168" s="35"/>
      <c r="Y168" s="35"/>
      <c r="Z168" s="35"/>
      <c r="AA168" s="35"/>
      <c r="AB168" s="35"/>
      <c r="AC168" s="35"/>
      <c r="AD168" s="35"/>
      <c r="AE168" s="35"/>
      <c r="AF168" s="35"/>
      <c r="AG168" s="35"/>
      <c r="AH168" s="35"/>
      <c r="AI168" s="35"/>
      <c r="AJ168" s="35"/>
      <c r="AK168" s="36"/>
      <c r="AL168" s="36"/>
      <c r="AM168" s="36"/>
      <c r="AN168" s="36"/>
      <c r="AO168" s="36"/>
      <c r="AP168" s="36"/>
      <c r="AQ168" s="36"/>
      <c r="AR168" s="36"/>
      <c r="AS168" s="36"/>
      <c r="AT168" s="36"/>
      <c r="AU168" s="36"/>
      <c r="AV168" s="36"/>
      <c r="AW168" s="36"/>
      <c r="AX168" s="36"/>
      <c r="AY168" s="36"/>
      <c r="AZ168" s="36"/>
      <c r="BA168" s="36"/>
      <c r="BB168" s="36"/>
    </row>
    <row r="169" spans="1:56" s="30" customFormat="1" ht="15" customHeight="1" x14ac:dyDescent="0.2">
      <c r="B169" s="30" t="s">
        <v>753</v>
      </c>
      <c r="J169" s="32"/>
      <c r="K169" s="37"/>
      <c r="L169" s="37"/>
      <c r="M169" s="81"/>
      <c r="N169" s="81"/>
      <c r="O169" s="249"/>
      <c r="Q169" s="34"/>
      <c r="R169" s="35"/>
      <c r="S169" s="35"/>
      <c r="T169" s="35"/>
      <c r="U169" s="35"/>
      <c r="V169" s="35"/>
      <c r="W169" s="35"/>
      <c r="X169" s="35"/>
      <c r="Y169" s="35"/>
      <c r="Z169" s="35"/>
      <c r="AA169" s="35"/>
      <c r="AB169" s="35"/>
      <c r="AC169" s="35"/>
      <c r="AD169" s="35"/>
      <c r="AE169" s="35"/>
      <c r="AF169" s="35"/>
      <c r="AG169" s="35"/>
      <c r="AH169" s="35"/>
      <c r="AI169" s="35"/>
      <c r="AJ169" s="35"/>
      <c r="AK169" s="36"/>
      <c r="AL169" s="36"/>
      <c r="AM169" s="36"/>
      <c r="AN169" s="36"/>
      <c r="AO169" s="36"/>
      <c r="AP169" s="36"/>
      <c r="AQ169" s="36"/>
      <c r="AR169" s="36"/>
      <c r="AS169" s="36"/>
      <c r="AT169" s="36"/>
      <c r="AU169" s="36"/>
      <c r="AV169" s="36"/>
      <c r="AW169" s="36"/>
      <c r="AX169" s="36"/>
      <c r="AY169" s="36"/>
      <c r="AZ169" s="36"/>
      <c r="BA169" s="36"/>
      <c r="BB169" s="36"/>
    </row>
    <row r="170" spans="1:56" s="30" customFormat="1" ht="15.75" x14ac:dyDescent="0.2">
      <c r="B170" s="8"/>
      <c r="C170" s="33"/>
      <c r="D170" s="81"/>
      <c r="G170" s="33"/>
      <c r="H170" s="81"/>
      <c r="J170" s="32"/>
      <c r="K170" s="37" t="s">
        <v>297</v>
      </c>
      <c r="L170" s="37" t="s">
        <v>185</v>
      </c>
      <c r="M170" s="81"/>
      <c r="N170" s="81"/>
      <c r="O170" s="249"/>
      <c r="Q170" s="34"/>
      <c r="R170" s="35"/>
      <c r="S170" s="35"/>
      <c r="T170" s="35"/>
      <c r="U170" s="35"/>
      <c r="V170" s="35"/>
      <c r="W170" s="35"/>
      <c r="X170" s="35"/>
      <c r="Y170" s="35"/>
      <c r="Z170" s="35"/>
      <c r="AA170" s="35"/>
      <c r="AB170" s="35"/>
      <c r="AC170" s="35"/>
      <c r="AD170" s="35"/>
      <c r="AE170" s="35"/>
      <c r="AF170" s="35"/>
      <c r="AG170" s="35"/>
      <c r="AH170" s="35"/>
      <c r="AI170" s="35"/>
      <c r="AJ170" s="35"/>
      <c r="AK170" s="36"/>
      <c r="AL170" s="36"/>
      <c r="AM170" s="36"/>
      <c r="AN170" s="36"/>
      <c r="AO170" s="36"/>
      <c r="AP170" s="36"/>
      <c r="AQ170" s="36"/>
      <c r="AR170" s="36"/>
      <c r="AS170" s="36"/>
      <c r="AT170" s="36"/>
      <c r="AU170" s="36"/>
      <c r="AV170" s="36"/>
      <c r="AW170" s="36"/>
      <c r="AX170" s="36"/>
      <c r="AY170" s="36"/>
      <c r="AZ170" s="36"/>
      <c r="BA170" s="36"/>
      <c r="BB170" s="36"/>
    </row>
    <row r="171" spans="1:56" s="30" customFormat="1" ht="30" x14ac:dyDescent="0.2">
      <c r="B171" s="76" t="s">
        <v>550</v>
      </c>
      <c r="C171" s="471" t="s">
        <v>738</v>
      </c>
      <c r="D171" s="473"/>
      <c r="G171" s="33"/>
      <c r="H171" s="81"/>
      <c r="J171" s="32" t="s">
        <v>483</v>
      </c>
      <c r="K171" s="446" t="str">
        <f>IF(ISNUMBER(L171),L171,IF(C171="Ostosähkö",(Muut!$F$11+Muut!$F$13)/1000,IF(C171="Aurinkopaneelit",(Muut!$F$25+Muut!$F$26),IF(OR(C171="Bensiini",C171="Diesel"),(Muut!$F$16+Muut!$F$15+Muut!$F$18+Muut!$F$19)/2,IF(C171="Aggregaatti","Aggregaatin kerroin","--")))))</f>
        <v>--</v>
      </c>
      <c r="L171" s="71"/>
      <c r="M171" s="83" t="s">
        <v>484</v>
      </c>
      <c r="N171" s="83"/>
      <c r="O171" s="250"/>
      <c r="Q171" s="34"/>
      <c r="R171" s="105" t="str">
        <f>IF(ISNUMBER(R175),R175,IF(ISNUMBER(R177),R177,""))</f>
        <v/>
      </c>
      <c r="S171" s="98" t="s">
        <v>160</v>
      </c>
      <c r="T171" s="35"/>
      <c r="U171" s="35"/>
      <c r="V171" s="35"/>
      <c r="W171" s="35"/>
      <c r="X171" s="35"/>
      <c r="Y171" s="35"/>
      <c r="Z171" s="35"/>
      <c r="AA171" s="35"/>
      <c r="AB171" s="35"/>
      <c r="AC171" s="35"/>
      <c r="AD171" s="35"/>
      <c r="AE171" s="35"/>
      <c r="AF171" s="35"/>
      <c r="AG171" s="35"/>
      <c r="AH171" s="35"/>
      <c r="AI171" s="35"/>
      <c r="AJ171" s="35"/>
      <c r="AK171" s="36"/>
      <c r="AL171" s="36"/>
      <c r="AM171" s="36"/>
      <c r="AN171" s="36"/>
      <c r="AO171" s="36"/>
      <c r="AP171" s="36"/>
      <c r="AQ171" s="36"/>
      <c r="AR171" s="36"/>
      <c r="AS171" s="36"/>
      <c r="AT171" s="36"/>
      <c r="AU171" s="36"/>
      <c r="AV171" s="36"/>
      <c r="AW171" s="36"/>
      <c r="AX171" s="36"/>
      <c r="AY171" s="36"/>
      <c r="AZ171" s="36"/>
      <c r="BA171" s="36"/>
      <c r="BB171" s="36"/>
    </row>
    <row r="172" spans="1:56" s="30" customFormat="1" ht="15" x14ac:dyDescent="0.2">
      <c r="B172" s="166" t="s">
        <v>485</v>
      </c>
      <c r="C172" s="156"/>
      <c r="D172" s="81" t="s">
        <v>8</v>
      </c>
      <c r="G172" s="33"/>
      <c r="H172" s="81"/>
      <c r="J172" s="32" t="s">
        <v>486</v>
      </c>
      <c r="K172" s="382">
        <f>IF(ISNUMBER(L172),L172,IF(OR(C171="Bensiini",C171="Diesel"),Muut!$F$35,Muut!$F$36))</f>
        <v>0.4</v>
      </c>
      <c r="L172" s="382" t="str">
        <f>IF(ISNUMBER(C172),C172/100,"--")</f>
        <v>--</v>
      </c>
      <c r="M172" s="83"/>
      <c r="N172" s="83"/>
      <c r="O172" s="251"/>
      <c r="Q172" s="34"/>
      <c r="R172" s="59"/>
      <c r="S172" s="98"/>
      <c r="T172" s="35"/>
      <c r="U172" s="35"/>
      <c r="V172" s="35"/>
      <c r="W172" s="35"/>
      <c r="X172" s="35"/>
      <c r="Y172" s="35"/>
      <c r="Z172" s="35"/>
      <c r="AA172" s="35"/>
      <c r="AB172" s="35"/>
      <c r="AC172" s="35"/>
      <c r="AD172" s="35"/>
      <c r="AE172" s="35"/>
      <c r="AF172" s="35"/>
      <c r="AG172" s="35"/>
      <c r="AH172" s="35"/>
      <c r="AI172" s="35"/>
      <c r="AJ172" s="35"/>
      <c r="AK172" s="36"/>
      <c r="AL172" s="36"/>
      <c r="AM172" s="36"/>
      <c r="AN172" s="36"/>
      <c r="AO172" s="36"/>
      <c r="AP172" s="36"/>
      <c r="AQ172" s="36"/>
      <c r="AR172" s="36"/>
      <c r="AS172" s="36"/>
      <c r="AT172" s="36"/>
      <c r="AU172" s="36"/>
      <c r="AV172" s="36"/>
      <c r="AW172" s="36"/>
      <c r="AX172" s="36"/>
      <c r="AY172" s="36"/>
      <c r="AZ172" s="36"/>
      <c r="BA172" s="36"/>
      <c r="BB172" s="36"/>
    </row>
    <row r="173" spans="1:56" s="30" customFormat="1" ht="15" x14ac:dyDescent="0.2">
      <c r="B173" s="52" t="s">
        <v>432</v>
      </c>
      <c r="C173" s="156"/>
      <c r="D173" s="86" t="s">
        <v>269</v>
      </c>
      <c r="G173" s="77"/>
      <c r="H173" s="81"/>
      <c r="M173" s="81"/>
      <c r="N173" s="81"/>
      <c r="O173" s="251"/>
      <c r="Q173" s="34"/>
      <c r="R173" s="95"/>
      <c r="S173" s="35"/>
      <c r="T173" s="35"/>
      <c r="U173" s="35"/>
      <c r="V173" s="35"/>
      <c r="W173" s="35"/>
      <c r="X173" s="35"/>
      <c r="Y173" s="35"/>
      <c r="Z173" s="35"/>
      <c r="AA173" s="35"/>
      <c r="AB173" s="35"/>
      <c r="AC173" s="35"/>
      <c r="AD173" s="35"/>
      <c r="AE173" s="35"/>
      <c r="AF173" s="35"/>
      <c r="AG173" s="35"/>
      <c r="AH173" s="35"/>
      <c r="AI173" s="35"/>
      <c r="AJ173" s="35"/>
      <c r="AK173" s="36"/>
      <c r="AL173" s="36"/>
      <c r="AM173" s="36"/>
      <c r="AN173" s="36"/>
      <c r="AO173" s="36"/>
      <c r="AP173" s="36"/>
      <c r="AQ173" s="36"/>
      <c r="AR173" s="36"/>
      <c r="AS173" s="36"/>
      <c r="AT173" s="36"/>
      <c r="AU173" s="36"/>
      <c r="AV173" s="36"/>
      <c r="AW173" s="36"/>
      <c r="AX173" s="36"/>
      <c r="AY173" s="36"/>
      <c r="AZ173" s="36"/>
      <c r="BA173" s="36"/>
      <c r="BB173" s="36"/>
    </row>
    <row r="174" spans="1:56" s="30" customFormat="1" ht="15" x14ac:dyDescent="0.2">
      <c r="B174" s="76" t="s">
        <v>434</v>
      </c>
      <c r="C174" s="33"/>
      <c r="D174" s="81"/>
      <c r="G174" s="33"/>
      <c r="H174" s="81"/>
      <c r="J174" s="32"/>
      <c r="K174" s="37"/>
      <c r="L174" s="37"/>
      <c r="M174" s="81"/>
      <c r="N174" s="81"/>
      <c r="O174" s="251"/>
      <c r="Q174" s="34"/>
      <c r="R174" s="35" t="s">
        <v>318</v>
      </c>
      <c r="S174" s="35"/>
      <c r="T174" s="35" t="s">
        <v>171</v>
      </c>
      <c r="U174" s="104"/>
      <c r="V174" s="35"/>
      <c r="W174" s="35"/>
      <c r="X174" s="35"/>
      <c r="Y174" s="35"/>
      <c r="Z174" s="35"/>
      <c r="AA174" s="35"/>
      <c r="AB174" s="35"/>
      <c r="AC174" s="35"/>
      <c r="AD174" s="35"/>
      <c r="AE174" s="35"/>
      <c r="AF174" s="35"/>
      <c r="AG174" s="35"/>
      <c r="AH174" s="35"/>
      <c r="AI174" s="35"/>
      <c r="AJ174" s="35"/>
      <c r="AK174" s="36"/>
      <c r="AL174" s="36"/>
      <c r="AM174" s="36"/>
      <c r="AN174" s="36"/>
      <c r="AO174" s="36"/>
      <c r="AP174" s="36"/>
      <c r="AQ174" s="36"/>
      <c r="AR174" s="36"/>
      <c r="AS174" s="36"/>
      <c r="AT174" s="36"/>
      <c r="AU174" s="36"/>
      <c r="AV174" s="36"/>
      <c r="AW174" s="36"/>
      <c r="AX174" s="36"/>
      <c r="AY174" s="36"/>
      <c r="AZ174" s="36"/>
      <c r="BA174" s="36"/>
      <c r="BB174" s="36"/>
    </row>
    <row r="175" spans="1:56" s="30" customFormat="1" ht="30" x14ac:dyDescent="0.2">
      <c r="B175" s="166" t="s">
        <v>488</v>
      </c>
      <c r="C175" s="152"/>
      <c r="D175" s="81" t="s">
        <v>264</v>
      </c>
      <c r="E175" s="33"/>
      <c r="G175" s="33"/>
      <c r="H175" s="81"/>
      <c r="M175" s="81"/>
      <c r="N175" s="81"/>
      <c r="O175" s="251"/>
      <c r="Q175" s="34"/>
      <c r="R175" s="105" t="str">
        <f>IF(ISNUMBER(C175),IF(AND(ISNUMBER(C173),C171="Aggregaatti"),C173*IF(D173="vuosi",365*24,IF(D173="kuukausi",30*24,IF(D173="päivä",24,1)))*Kalusto!$E$23,C175*T175),"")</f>
        <v/>
      </c>
      <c r="S175" s="98" t="s">
        <v>160</v>
      </c>
      <c r="T175" s="191" t="str">
        <f>IF(ISNUMBER(L171),L171,IF(C171="Ostosähkö",(Muut!$F$11+Muut!$F$13)/1000,IF(C171="Aurinkopaneelit",(Muut!$F$25+Muut!$F$26),IF(OR(C171="Bensiini",C171="Diesel"),(Muut!$F$16+Muut!$F$15+Muut!$F$18+Muut!$F$19)/2,IF(C171="Aggregaatti","Aggregaatin kerroin","")))))</f>
        <v/>
      </c>
      <c r="U175" s="104"/>
      <c r="V175" s="35"/>
      <c r="W175" s="35"/>
      <c r="X175" s="35"/>
      <c r="Y175" s="35"/>
      <c r="Z175" s="35"/>
      <c r="AA175" s="35"/>
      <c r="AB175" s="35"/>
      <c r="AC175" s="35"/>
      <c r="AD175" s="35"/>
      <c r="AE175" s="35"/>
      <c r="AF175" s="35"/>
      <c r="AG175" s="35"/>
      <c r="AH175" s="35"/>
      <c r="AI175" s="35"/>
      <c r="AJ175" s="35"/>
      <c r="AK175" s="36"/>
      <c r="AL175" s="36"/>
      <c r="AM175" s="36"/>
      <c r="AN175" s="36"/>
      <c r="AO175" s="36"/>
      <c r="AP175" s="36"/>
      <c r="AQ175" s="36"/>
      <c r="AR175" s="36"/>
      <c r="AS175" s="36"/>
      <c r="AT175" s="36"/>
      <c r="AU175" s="36"/>
      <c r="AV175" s="36"/>
      <c r="AW175" s="36"/>
      <c r="AX175" s="36"/>
      <c r="AY175" s="36"/>
      <c r="AZ175" s="36"/>
      <c r="BA175" s="36"/>
      <c r="BB175" s="36"/>
    </row>
    <row r="176" spans="1:56" s="30" customFormat="1" ht="15" x14ac:dyDescent="0.2">
      <c r="B176" s="52" t="s">
        <v>435</v>
      </c>
      <c r="C176" s="33"/>
      <c r="D176" s="81"/>
      <c r="G176" s="77"/>
      <c r="H176" s="81"/>
      <c r="M176" s="81"/>
      <c r="N176" s="81"/>
      <c r="O176" s="251"/>
      <c r="Q176" s="34"/>
      <c r="R176" s="43" t="s">
        <v>318</v>
      </c>
      <c r="S176" s="35"/>
      <c r="T176" s="35" t="s">
        <v>801</v>
      </c>
      <c r="U176" s="35"/>
      <c r="V176" s="35"/>
      <c r="W176" s="35"/>
      <c r="X176" s="35"/>
      <c r="Y176" s="35"/>
      <c r="Z176" s="35"/>
      <c r="AA176" s="35"/>
      <c r="AB176" s="35"/>
      <c r="AC176" s="35"/>
      <c r="AD176" s="35"/>
      <c r="AE176" s="35"/>
      <c r="AF176" s="35"/>
      <c r="AG176" s="35"/>
      <c r="AH176" s="35"/>
      <c r="AI176" s="35"/>
      <c r="AJ176" s="35"/>
      <c r="AK176" s="36"/>
      <c r="AL176" s="36"/>
      <c r="AM176" s="36"/>
      <c r="AN176" s="36"/>
      <c r="AO176" s="36"/>
      <c r="AP176" s="36"/>
      <c r="AQ176" s="36"/>
      <c r="AR176" s="36"/>
      <c r="AS176" s="36"/>
      <c r="AT176" s="36"/>
      <c r="AU176" s="36"/>
      <c r="AV176" s="36"/>
      <c r="AW176" s="36"/>
      <c r="AX176" s="36"/>
      <c r="AY176" s="36"/>
      <c r="AZ176" s="36"/>
      <c r="BA176" s="36"/>
      <c r="BB176" s="36"/>
    </row>
    <row r="177" spans="1:56" s="30" customFormat="1" ht="15" x14ac:dyDescent="0.2">
      <c r="B177" s="44" t="s">
        <v>433</v>
      </c>
      <c r="C177" s="156"/>
      <c r="D177" s="81" t="s">
        <v>195</v>
      </c>
      <c r="G177" s="77"/>
      <c r="H177" s="81"/>
      <c r="M177" s="81"/>
      <c r="N177" s="81"/>
      <c r="O177" s="251"/>
      <c r="Q177" s="34"/>
      <c r="R177" s="191" t="str">
        <f>IF(ISNUMBER(C177),IF(AND(ISNUMBER(C173),C171="Aggregaatti"),IF(D173="vuosi",365*24,IF(D173="kuukausi",30*24,IF(D173="päivä",24,1)))*C173*T177,IF(AND(ISNUMBER(C173),OR(C171="Ostosähkö",C171="Aurinkopaneelit")),IF(D173="vuosi",365*24,IF(D173="kuukausi",30*24,IF(D173="päivä",24,1)))*C173*T177,IF(ISNUMBER(C173),IF(D173="vuosi",365*24,IF(D173="kuukausi",30*24,IF(D173="päivä",24,1)))*C173*C177/1000/((Muut!$M$15*Muut!$O$15+Muut!$M$16*Muut!$O$16)/2)*(Muut!$F$16+Muut!$F$19+Muut!$F$18+Muut!$F$15)/2,""))),"")</f>
        <v/>
      </c>
      <c r="S177" s="98" t="s">
        <v>160</v>
      </c>
      <c r="T177" s="191" t="str">
        <f>IF(ISNUMBER(C177),IF(C171="Ostosähkö",K171/K172,IF(C171="Aurinkopaneelit",K171/K172,IF(C171="Aggregaatti",K171,K171/K172))),IF(AND(C171="Aggregaatti",ISNUMBER(C173)),K171,""))</f>
        <v/>
      </c>
      <c r="U177" s="104"/>
      <c r="V177" s="35"/>
      <c r="W177" s="35"/>
      <c r="X177" s="35"/>
      <c r="Y177" s="35"/>
      <c r="Z177" s="35"/>
      <c r="AA177" s="35"/>
      <c r="AB177" s="35"/>
      <c r="AC177" s="35"/>
      <c r="AD177" s="35"/>
      <c r="AE177" s="35"/>
      <c r="AF177" s="35"/>
      <c r="AG177" s="35"/>
      <c r="AH177" s="35"/>
      <c r="AI177" s="35"/>
      <c r="AJ177" s="35"/>
      <c r="AK177" s="36"/>
      <c r="AL177" s="36"/>
      <c r="AM177" s="36"/>
      <c r="AN177" s="36"/>
      <c r="AO177" s="36"/>
      <c r="AP177" s="36"/>
      <c r="AQ177" s="36"/>
      <c r="AR177" s="36"/>
      <c r="AS177" s="36"/>
      <c r="AT177" s="36"/>
      <c r="AU177" s="36"/>
      <c r="AV177" s="36"/>
      <c r="AW177" s="36"/>
      <c r="AX177" s="36"/>
      <c r="AY177" s="36"/>
      <c r="AZ177" s="36"/>
      <c r="BA177" s="36"/>
      <c r="BB177" s="36"/>
    </row>
    <row r="178" spans="1:56" s="30" customFormat="1" ht="15" x14ac:dyDescent="0.2">
      <c r="D178" s="81"/>
      <c r="H178" s="81"/>
      <c r="J178" s="32"/>
      <c r="K178" s="37" t="s">
        <v>297</v>
      </c>
      <c r="L178" s="37" t="s">
        <v>185</v>
      </c>
      <c r="M178" s="81"/>
      <c r="N178" s="81"/>
      <c r="O178" s="251"/>
      <c r="Q178" s="34"/>
      <c r="R178" s="95"/>
      <c r="S178" s="35"/>
      <c r="T178" s="35"/>
      <c r="U178" s="35"/>
      <c r="V178" s="35"/>
      <c r="W178" s="35"/>
      <c r="X178" s="35"/>
      <c r="Y178" s="35"/>
      <c r="Z178" s="35"/>
      <c r="AA178" s="35"/>
      <c r="AB178" s="35"/>
      <c r="AC178" s="35"/>
      <c r="AD178" s="35"/>
      <c r="AE178" s="35"/>
      <c r="AF178" s="35"/>
      <c r="AG178" s="35"/>
      <c r="AH178" s="35"/>
      <c r="AI178" s="35"/>
      <c r="AJ178" s="35"/>
      <c r="AK178" s="36"/>
      <c r="AL178" s="36"/>
      <c r="AM178" s="36"/>
      <c r="AN178" s="36"/>
      <c r="AO178" s="36"/>
      <c r="AP178" s="36"/>
      <c r="AQ178" s="36"/>
      <c r="AR178" s="36"/>
      <c r="AS178" s="36"/>
      <c r="AT178" s="36"/>
      <c r="AU178" s="36"/>
      <c r="AV178" s="36"/>
      <c r="AW178" s="36"/>
      <c r="AX178" s="36"/>
      <c r="AY178" s="36"/>
      <c r="AZ178" s="36"/>
      <c r="BA178" s="36"/>
      <c r="BB178" s="36"/>
    </row>
    <row r="179" spans="1:56" s="30" customFormat="1" ht="15" x14ac:dyDescent="0.2">
      <c r="B179" s="52" t="s">
        <v>451</v>
      </c>
      <c r="C179" s="156"/>
      <c r="D179" s="81" t="s">
        <v>194</v>
      </c>
      <c r="G179" s="33"/>
      <c r="H179" s="81"/>
      <c r="J179" s="32" t="s">
        <v>446</v>
      </c>
      <c r="K179" s="92">
        <f>IF(ISNUMBER(L179),L179,Muut!$F$37)</f>
        <v>0.7</v>
      </c>
      <c r="L179" s="71"/>
      <c r="M179" s="81" t="s">
        <v>207</v>
      </c>
      <c r="N179" s="81"/>
      <c r="O179" s="251" t="s">
        <v>748</v>
      </c>
      <c r="Q179" s="34"/>
      <c r="R179" s="105">
        <f>IF(ISNUMBER(K179*C179),K179*C179,"")</f>
        <v>0</v>
      </c>
      <c r="S179" s="98" t="s">
        <v>160</v>
      </c>
      <c r="T179" s="35"/>
      <c r="U179" s="35"/>
      <c r="V179" s="35"/>
      <c r="W179" s="35"/>
      <c r="X179" s="35"/>
      <c r="Y179" s="35"/>
      <c r="Z179" s="35"/>
      <c r="AA179" s="35"/>
      <c r="AB179" s="35"/>
      <c r="AC179" s="35"/>
      <c r="AD179" s="35"/>
      <c r="AE179" s="35"/>
      <c r="AF179" s="35"/>
      <c r="AG179" s="35"/>
      <c r="AH179" s="35"/>
      <c r="AI179" s="35"/>
      <c r="AJ179" s="35"/>
      <c r="AK179" s="36"/>
      <c r="AL179" s="36"/>
      <c r="AM179" s="36"/>
      <c r="AN179" s="36"/>
      <c r="AO179" s="36"/>
      <c r="AP179" s="36"/>
      <c r="AQ179" s="36"/>
      <c r="AR179" s="36"/>
      <c r="AS179" s="36"/>
      <c r="AT179" s="36"/>
      <c r="AU179" s="36"/>
      <c r="AV179" s="36"/>
      <c r="AW179" s="36"/>
      <c r="AX179" s="36"/>
      <c r="AY179" s="36"/>
      <c r="AZ179" s="36"/>
      <c r="BA179" s="36"/>
      <c r="BB179" s="36"/>
    </row>
    <row r="180" spans="1:56" s="30" customFormat="1" ht="15" x14ac:dyDescent="0.2">
      <c r="B180" s="68" t="s">
        <v>444</v>
      </c>
      <c r="C180" s="93"/>
      <c r="D180" s="74" t="s">
        <v>194</v>
      </c>
      <c r="G180" s="33"/>
      <c r="H180" s="81"/>
      <c r="J180" s="69" t="s">
        <v>445</v>
      </c>
      <c r="K180" s="33"/>
      <c r="L180" s="33"/>
      <c r="M180" s="81"/>
      <c r="N180" s="81"/>
      <c r="O180" s="251"/>
      <c r="Q180" s="34"/>
      <c r="R180" s="95"/>
      <c r="S180" s="35"/>
      <c r="T180" s="35"/>
      <c r="U180" s="35"/>
      <c r="V180" s="35"/>
      <c r="W180" s="35"/>
      <c r="X180" s="35"/>
      <c r="Y180" s="35"/>
      <c r="Z180" s="35"/>
      <c r="AA180" s="35"/>
      <c r="AB180" s="35"/>
      <c r="AC180" s="35"/>
      <c r="AD180" s="35"/>
      <c r="AE180" s="35"/>
      <c r="AF180" s="35"/>
      <c r="AG180" s="35"/>
      <c r="AH180" s="35"/>
      <c r="AI180" s="35"/>
      <c r="AJ180" s="35"/>
      <c r="AK180" s="36"/>
      <c r="AL180" s="36"/>
      <c r="AM180" s="36"/>
      <c r="AN180" s="36"/>
      <c r="AO180" s="36"/>
      <c r="AP180" s="36"/>
      <c r="AQ180" s="36"/>
      <c r="AR180" s="36"/>
      <c r="AS180" s="36"/>
      <c r="AT180" s="36"/>
      <c r="AU180" s="36"/>
      <c r="AV180" s="36"/>
      <c r="AW180" s="36"/>
      <c r="AX180" s="36"/>
      <c r="AY180" s="36"/>
      <c r="AZ180" s="36"/>
      <c r="BA180" s="36"/>
      <c r="BB180" s="36"/>
    </row>
    <row r="181" spans="1:56" s="30" customFormat="1" ht="15" x14ac:dyDescent="0.2">
      <c r="B181" s="68" t="s">
        <v>13</v>
      </c>
      <c r="C181" s="93"/>
      <c r="D181" s="74" t="s">
        <v>194</v>
      </c>
      <c r="G181" s="33"/>
      <c r="H181" s="81"/>
      <c r="J181" s="69" t="s">
        <v>250</v>
      </c>
      <c r="K181" s="33"/>
      <c r="L181" s="33"/>
      <c r="M181" s="81"/>
      <c r="N181" s="81"/>
      <c r="O181" s="251"/>
      <c r="Q181" s="34"/>
      <c r="R181" s="95"/>
      <c r="S181" s="35"/>
      <c r="T181" s="35"/>
      <c r="U181" s="35"/>
      <c r="V181" s="35"/>
      <c r="W181" s="35"/>
      <c r="X181" s="35"/>
      <c r="Y181" s="35"/>
      <c r="Z181" s="35"/>
      <c r="AA181" s="35"/>
      <c r="AB181" s="35"/>
      <c r="AC181" s="35"/>
      <c r="AD181" s="35"/>
      <c r="AE181" s="35"/>
      <c r="AF181" s="35"/>
      <c r="AG181" s="35"/>
      <c r="AH181" s="35"/>
      <c r="AI181" s="35"/>
      <c r="AJ181" s="35"/>
      <c r="AK181" s="36"/>
      <c r="AL181" s="36"/>
      <c r="AM181" s="36"/>
      <c r="AN181" s="36"/>
      <c r="AO181" s="36"/>
      <c r="AP181" s="36"/>
      <c r="AQ181" s="36"/>
      <c r="AR181" s="36"/>
      <c r="AS181" s="36"/>
      <c r="AT181" s="36"/>
      <c r="AU181" s="36"/>
      <c r="AV181" s="36"/>
      <c r="AW181" s="36"/>
      <c r="AX181" s="36"/>
      <c r="AY181" s="36"/>
      <c r="AZ181" s="36"/>
      <c r="BA181" s="36"/>
      <c r="BB181" s="36"/>
    </row>
    <row r="182" spans="1:56" s="30" customFormat="1" ht="15" x14ac:dyDescent="0.2">
      <c r="C182" s="33"/>
      <c r="D182" s="81"/>
      <c r="G182" s="33"/>
      <c r="H182" s="81"/>
      <c r="O182" s="167"/>
      <c r="P182" s="67"/>
      <c r="Q182" s="104"/>
      <c r="R182" s="94"/>
      <c r="S182" s="104"/>
      <c r="T182" s="36"/>
      <c r="U182" s="35"/>
      <c r="V182" s="35"/>
      <c r="W182" s="35"/>
      <c r="X182" s="35"/>
      <c r="Y182" s="35"/>
      <c r="Z182" s="35"/>
      <c r="AA182" s="35"/>
      <c r="AB182" s="35"/>
      <c r="AC182" s="35"/>
      <c r="AD182" s="35"/>
      <c r="AE182" s="35"/>
      <c r="AF182" s="35"/>
      <c r="AG182" s="35"/>
      <c r="AH182" s="35"/>
      <c r="AI182" s="35"/>
      <c r="AJ182" s="35"/>
      <c r="AK182" s="35"/>
      <c r="AL182" s="35"/>
      <c r="AM182" s="36"/>
      <c r="AN182" s="36"/>
      <c r="AO182" s="36"/>
      <c r="AP182" s="36"/>
      <c r="AQ182" s="36"/>
      <c r="AR182" s="36"/>
      <c r="AS182" s="36"/>
      <c r="AT182" s="36"/>
      <c r="AU182" s="36"/>
      <c r="AV182" s="36"/>
      <c r="AW182" s="36"/>
      <c r="AX182" s="36"/>
      <c r="AY182" s="36"/>
      <c r="AZ182" s="36"/>
      <c r="BA182" s="36"/>
      <c r="BB182" s="36"/>
      <c r="BC182" s="54"/>
      <c r="BD182" s="54"/>
    </row>
    <row r="183" spans="1:56" s="30" customFormat="1" ht="18" x14ac:dyDescent="0.2">
      <c r="A183" s="289"/>
      <c r="B183" s="286" t="s">
        <v>589</v>
      </c>
      <c r="C183" s="287"/>
      <c r="D183" s="288"/>
      <c r="E183" s="289"/>
      <c r="F183" s="289"/>
      <c r="G183" s="287"/>
      <c r="H183" s="288"/>
      <c r="I183" s="289"/>
      <c r="J183" s="289"/>
      <c r="K183" s="290"/>
      <c r="L183" s="290"/>
      <c r="M183" s="288"/>
      <c r="N183" s="288"/>
      <c r="O183" s="291"/>
      <c r="P183" s="289"/>
      <c r="Q183" s="292"/>
      <c r="R183" s="293"/>
      <c r="S183" s="294"/>
      <c r="T183" s="294"/>
      <c r="U183" s="294"/>
      <c r="V183" s="294"/>
      <c r="W183" s="294"/>
      <c r="X183" s="294"/>
      <c r="Y183" s="294"/>
      <c r="Z183" s="294"/>
      <c r="AA183" s="294"/>
      <c r="AB183" s="294"/>
      <c r="AC183" s="294"/>
      <c r="AD183" s="294"/>
      <c r="AE183" s="294"/>
      <c r="AF183" s="294"/>
      <c r="AG183" s="294"/>
      <c r="AH183" s="294"/>
      <c r="AI183" s="294"/>
      <c r="AJ183" s="294"/>
      <c r="AK183" s="295"/>
      <c r="AL183" s="295"/>
      <c r="AM183" s="295"/>
      <c r="AN183" s="295"/>
      <c r="AO183" s="295"/>
      <c r="AP183" s="295"/>
      <c r="AQ183" s="295"/>
      <c r="AR183" s="295"/>
      <c r="AS183" s="295"/>
      <c r="AT183" s="295"/>
      <c r="AU183" s="295"/>
      <c r="AV183" s="295"/>
      <c r="AW183" s="295"/>
      <c r="AX183" s="295"/>
      <c r="AY183" s="295"/>
      <c r="AZ183" s="295"/>
      <c r="BA183" s="295"/>
      <c r="BB183" s="295"/>
    </row>
    <row r="184" spans="1:56" s="30" customFormat="1" ht="15" x14ac:dyDescent="0.2">
      <c r="C184" s="33"/>
      <c r="D184" s="81"/>
      <c r="G184" s="33"/>
      <c r="H184" s="81"/>
      <c r="J184" s="32"/>
      <c r="K184" s="33"/>
      <c r="L184" s="33"/>
      <c r="M184" s="81"/>
      <c r="N184" s="81"/>
      <c r="O184" s="249" t="s">
        <v>584</v>
      </c>
      <c r="Q184" s="34"/>
      <c r="R184" s="95"/>
      <c r="S184" s="35"/>
      <c r="T184" s="35"/>
      <c r="U184" s="35"/>
      <c r="V184" s="35"/>
      <c r="W184" s="35"/>
      <c r="X184" s="35"/>
      <c r="Y184" s="35"/>
      <c r="Z184" s="35"/>
      <c r="AA184" s="35"/>
      <c r="AB184" s="35"/>
      <c r="AC184" s="35"/>
      <c r="AD184" s="35"/>
      <c r="AE184" s="35"/>
      <c r="AF184" s="35"/>
      <c r="AG184" s="35"/>
      <c r="AH184" s="35"/>
      <c r="AI184" s="35"/>
      <c r="AJ184" s="35"/>
      <c r="AK184" s="36"/>
      <c r="AL184" s="36"/>
      <c r="AM184" s="36"/>
      <c r="AN184" s="36"/>
      <c r="AO184" s="36"/>
      <c r="AP184" s="36"/>
      <c r="AQ184" s="36"/>
      <c r="AR184" s="36"/>
      <c r="AS184" s="36"/>
      <c r="AT184" s="36"/>
      <c r="AU184" s="36"/>
      <c r="AV184" s="36"/>
      <c r="AW184" s="36"/>
      <c r="AX184" s="36"/>
      <c r="AY184" s="36"/>
      <c r="AZ184" s="36"/>
      <c r="BA184" s="36"/>
      <c r="BB184" s="36"/>
    </row>
    <row r="185" spans="1:56" s="30" customFormat="1" ht="15" x14ac:dyDescent="0.2">
      <c r="B185" s="160" t="s">
        <v>303</v>
      </c>
      <c r="C185" s="33"/>
      <c r="D185" s="81"/>
      <c r="G185" s="33"/>
      <c r="H185" s="81"/>
      <c r="K185" s="37"/>
      <c r="L185" s="37"/>
      <c r="M185" s="81"/>
      <c r="N185" s="81"/>
      <c r="O185" s="250"/>
      <c r="Q185" s="34"/>
      <c r="R185" s="95"/>
      <c r="S185" s="35"/>
      <c r="T185" s="35"/>
      <c r="U185" s="35"/>
      <c r="V185" s="35"/>
      <c r="W185" s="35"/>
      <c r="X185" s="35"/>
      <c r="Y185" s="35"/>
      <c r="Z185" s="35"/>
      <c r="AA185" s="35"/>
      <c r="AB185" s="35"/>
      <c r="AC185" s="35"/>
      <c r="AD185" s="35"/>
      <c r="AE185" s="35"/>
      <c r="AF185" s="35"/>
      <c r="AG185" s="35"/>
      <c r="AH185" s="35"/>
      <c r="AI185" s="35"/>
      <c r="AJ185" s="35"/>
      <c r="AK185" s="36"/>
      <c r="AL185" s="36"/>
      <c r="AM185" s="36"/>
      <c r="AN185" s="36"/>
      <c r="AO185" s="36"/>
      <c r="AP185" s="36"/>
      <c r="AQ185" s="36"/>
      <c r="AR185" s="36"/>
      <c r="AS185" s="36"/>
      <c r="AT185" s="36"/>
      <c r="AU185" s="36"/>
      <c r="AV185" s="36"/>
      <c r="AW185" s="36"/>
      <c r="AX185" s="36"/>
      <c r="AY185" s="36"/>
      <c r="AZ185" s="36"/>
      <c r="BA185" s="36"/>
      <c r="BB185" s="36"/>
    </row>
    <row r="186" spans="1:56" s="30" customFormat="1" ht="60" x14ac:dyDescent="0.2">
      <c r="B186" s="76" t="s">
        <v>694</v>
      </c>
      <c r="C186" s="474" t="s">
        <v>110</v>
      </c>
      <c r="D186" s="474"/>
      <c r="E186" s="33"/>
      <c r="F186" s="33"/>
      <c r="G186" s="37" t="str">
        <f>IF(C186="Muu tuote tai materiaali","Muun tuotteen tai materiaalin määrän yksikkö","")</f>
        <v/>
      </c>
      <c r="H186" s="81"/>
      <c r="K186" s="37" t="s">
        <v>692</v>
      </c>
      <c r="L186" s="37" t="s">
        <v>185</v>
      </c>
      <c r="M186" s="81" t="s">
        <v>287</v>
      </c>
      <c r="N186" s="81"/>
      <c r="O186" s="250"/>
      <c r="Q186" s="34"/>
      <c r="R186" s="35" t="s">
        <v>318</v>
      </c>
      <c r="S186" s="35"/>
      <c r="T186" s="104"/>
      <c r="U186" s="35"/>
      <c r="V186" s="35"/>
      <c r="W186" s="35"/>
      <c r="X186" s="35"/>
      <c r="Y186" s="35"/>
      <c r="Z186" s="35"/>
      <c r="AA186" s="35"/>
      <c r="AB186" s="35"/>
      <c r="AC186" s="35"/>
      <c r="AD186" s="35"/>
      <c r="AE186" s="35"/>
      <c r="AF186" s="35"/>
      <c r="AG186" s="35"/>
      <c r="AH186" s="35"/>
      <c r="AI186" s="35"/>
      <c r="AJ186" s="35"/>
      <c r="AK186" s="36"/>
      <c r="AL186" s="36"/>
      <c r="AM186" s="36"/>
      <c r="AN186" s="36"/>
      <c r="AO186" s="36"/>
      <c r="AP186" s="36"/>
      <c r="AQ186" s="36"/>
      <c r="AR186" s="36"/>
      <c r="AS186" s="36"/>
      <c r="AT186" s="36"/>
      <c r="AU186" s="36"/>
      <c r="AV186" s="36"/>
      <c r="AW186" s="36"/>
      <c r="AX186" s="36"/>
      <c r="AY186" s="36"/>
      <c r="AZ186" s="36"/>
      <c r="BA186" s="36"/>
      <c r="BB186" s="36"/>
    </row>
    <row r="187" spans="1:56" s="30" customFormat="1" ht="15" x14ac:dyDescent="0.2">
      <c r="B187" s="52" t="s">
        <v>331</v>
      </c>
      <c r="C187" s="386"/>
      <c r="D187" s="314" t="str">
        <f>IFERROR(VLOOKUP(C186,Materiaalit!$C$20:$D$31,2,FALSE),"Yksikkö")</f>
        <v>Yksikkö</v>
      </c>
      <c r="E187" s="33"/>
      <c r="F187" s="33"/>
      <c r="G187" s="41"/>
      <c r="H187" s="81"/>
      <c r="J187" s="32" t="s">
        <v>497</v>
      </c>
      <c r="K187" s="92" t="str">
        <f>IFERROR(IF(ISNUMBER(L187),L187,VLOOKUP(C186,Materiaalit!$C$20:$G$31,5,FALSE)),"--")</f>
        <v>--</v>
      </c>
      <c r="L187" s="39"/>
      <c r="M187" s="396" t="str">
        <f>IF(D187="Yksikkö","--",IF(AND(D187="Oma yksikkö",ISBLANK(G187)),"Puuttuu",IF(AND(D187="Oma yksikkö",NOT(ISBLANK(G187))),"kgCO2e/" &amp; G187,"kgCO2e/" &amp; D187)))</f>
        <v>--</v>
      </c>
      <c r="N187" s="41"/>
      <c r="O187" s="253"/>
      <c r="Q187" s="34"/>
      <c r="R187" s="213" t="str">
        <f>IF(AND(ISNUMBER(C187),ISNUMBER(K187)),C187*K187,"")</f>
        <v/>
      </c>
      <c r="S187" s="98" t="s">
        <v>160</v>
      </c>
      <c r="T187" s="104"/>
      <c r="U187" s="35"/>
      <c r="V187" s="35"/>
      <c r="W187" s="35"/>
      <c r="X187" s="35"/>
      <c r="Y187" s="35"/>
      <c r="Z187" s="35"/>
      <c r="AA187" s="35"/>
      <c r="AB187" s="35"/>
      <c r="AC187" s="35"/>
      <c r="AD187" s="35"/>
      <c r="AE187" s="35"/>
      <c r="AF187" s="35"/>
      <c r="AG187" s="35"/>
      <c r="AH187" s="35"/>
      <c r="AI187" s="35"/>
      <c r="AJ187" s="35"/>
      <c r="AK187" s="36"/>
      <c r="AL187" s="36"/>
      <c r="AM187" s="36"/>
      <c r="AN187" s="36"/>
      <c r="AO187" s="36"/>
      <c r="AP187" s="36"/>
      <c r="AQ187" s="36"/>
      <c r="AR187" s="36"/>
      <c r="AS187" s="36"/>
      <c r="AT187" s="36"/>
      <c r="AU187" s="36"/>
      <c r="AV187" s="36"/>
      <c r="AW187" s="36"/>
      <c r="AX187" s="36"/>
      <c r="AY187" s="36"/>
      <c r="AZ187" s="36"/>
      <c r="BA187" s="36"/>
      <c r="BB187" s="36"/>
    </row>
    <row r="188" spans="1:56" s="30" customFormat="1" ht="15" x14ac:dyDescent="0.2">
      <c r="B188" s="160" t="s">
        <v>304</v>
      </c>
      <c r="C188" s="33"/>
      <c r="D188" s="81"/>
      <c r="E188" s="33"/>
      <c r="G188" s="33"/>
      <c r="H188" s="81"/>
      <c r="J188" s="32"/>
      <c r="K188" s="37"/>
      <c r="L188" s="37"/>
      <c r="M188" s="37"/>
      <c r="N188" s="37"/>
      <c r="O188" s="254"/>
      <c r="Q188" s="34"/>
      <c r="R188" s="59"/>
      <c r="S188" s="35"/>
      <c r="T188" s="104"/>
      <c r="U188" s="35"/>
      <c r="V188" s="35"/>
      <c r="W188" s="35"/>
      <c r="X188" s="35"/>
      <c r="Y188" s="35"/>
      <c r="Z188" s="35"/>
      <c r="AA188" s="35"/>
      <c r="AB188" s="35"/>
      <c r="AC188" s="35"/>
      <c r="AD188" s="35"/>
      <c r="AE188" s="35"/>
      <c r="AF188" s="35"/>
      <c r="AG188" s="35"/>
      <c r="AH188" s="35"/>
      <c r="AI188" s="35"/>
      <c r="AJ188" s="35"/>
      <c r="AK188" s="36"/>
      <c r="AL188" s="36"/>
      <c r="AM188" s="36"/>
      <c r="AN188" s="36"/>
      <c r="AO188" s="36"/>
      <c r="AP188" s="36"/>
      <c r="AQ188" s="36"/>
      <c r="AR188" s="36"/>
      <c r="AS188" s="36"/>
      <c r="AT188" s="36"/>
      <c r="AU188" s="36"/>
      <c r="AV188" s="36"/>
      <c r="AW188" s="36"/>
      <c r="AX188" s="36"/>
      <c r="AY188" s="36"/>
      <c r="AZ188" s="36"/>
      <c r="BA188" s="36"/>
      <c r="BB188" s="36"/>
    </row>
    <row r="189" spans="1:56" s="30" customFormat="1" ht="60" x14ac:dyDescent="0.2">
      <c r="B189" s="76" t="s">
        <v>694</v>
      </c>
      <c r="C189" s="474" t="s">
        <v>110</v>
      </c>
      <c r="D189" s="474"/>
      <c r="E189" s="33"/>
      <c r="G189" s="37" t="str">
        <f>IF(C189="Muu tuote tai materiaali","Muun tuotteen tai materiaalin määrän yksikkö","")</f>
        <v/>
      </c>
      <c r="H189" s="81"/>
      <c r="J189" s="32"/>
      <c r="K189" s="37" t="s">
        <v>692</v>
      </c>
      <c r="L189" s="37" t="s">
        <v>185</v>
      </c>
      <c r="M189" s="37" t="s">
        <v>287</v>
      </c>
      <c r="N189" s="37"/>
      <c r="O189" s="254"/>
      <c r="Q189" s="34"/>
      <c r="R189" s="35" t="s">
        <v>318</v>
      </c>
      <c r="S189" s="35"/>
      <c r="T189" s="104"/>
      <c r="U189" s="35"/>
      <c r="V189" s="35"/>
      <c r="W189" s="35"/>
      <c r="X189" s="35"/>
      <c r="Y189" s="35"/>
      <c r="Z189" s="35"/>
      <c r="AA189" s="35"/>
      <c r="AB189" s="35"/>
      <c r="AC189" s="35"/>
      <c r="AD189" s="35"/>
      <c r="AE189" s="35"/>
      <c r="AF189" s="35"/>
      <c r="AG189" s="35"/>
      <c r="AH189" s="35"/>
      <c r="AI189" s="35"/>
      <c r="AJ189" s="35"/>
      <c r="AK189" s="36"/>
      <c r="AL189" s="36"/>
      <c r="AM189" s="36"/>
      <c r="AN189" s="36"/>
      <c r="AO189" s="36"/>
      <c r="AP189" s="36"/>
      <c r="AQ189" s="36"/>
      <c r="AR189" s="36"/>
      <c r="AS189" s="36"/>
      <c r="AT189" s="36"/>
      <c r="AU189" s="36"/>
      <c r="AV189" s="36"/>
      <c r="AW189" s="36"/>
      <c r="AX189" s="36"/>
      <c r="AY189" s="36"/>
      <c r="AZ189" s="36"/>
      <c r="BA189" s="36"/>
      <c r="BB189" s="36"/>
    </row>
    <row r="190" spans="1:56" s="30" customFormat="1" ht="15" x14ac:dyDescent="0.2">
      <c r="B190" s="52" t="s">
        <v>331</v>
      </c>
      <c r="C190" s="152"/>
      <c r="D190" s="314" t="str">
        <f>IFERROR(VLOOKUP(C189,Materiaalit!$C$20:$D$31,2,FALSE),"Yksikkö")</f>
        <v>Yksikkö</v>
      </c>
      <c r="E190" s="33"/>
      <c r="G190" s="41"/>
      <c r="H190" s="81"/>
      <c r="J190" s="32" t="s">
        <v>497</v>
      </c>
      <c r="K190" s="92" t="str">
        <f>IFERROR(IF(ISNUMBER(L190),L190,VLOOKUP(C189,Materiaalit!$C$20:$G$31,5,FALSE)),"--")</f>
        <v>--</v>
      </c>
      <c r="L190" s="39"/>
      <c r="M190" s="396" t="str">
        <f>IF(D190="Yksikkö","--",IF(AND(D190="Oma yksikkö",ISBLANK(G190)),"Puuttuu",IF(AND(D190="Oma yksikkö",NOT(ISBLANK(G190))),"kgCO2e/" &amp; G190,"kgCO2e/" &amp; D190)))</f>
        <v>--</v>
      </c>
      <c r="N190" s="41"/>
      <c r="O190" s="255"/>
      <c r="Q190" s="34"/>
      <c r="R190" s="213" t="str">
        <f>IF(AND(ISNUMBER(C190),ISNUMBER(K190)),C190*K190,"")</f>
        <v/>
      </c>
      <c r="S190" s="98" t="s">
        <v>160</v>
      </c>
      <c r="T190" s="104"/>
      <c r="U190" s="35"/>
      <c r="V190" s="35"/>
      <c r="W190" s="35"/>
      <c r="X190" s="35"/>
      <c r="Y190" s="35"/>
      <c r="Z190" s="35"/>
      <c r="AA190" s="35"/>
      <c r="AB190" s="35"/>
      <c r="AC190" s="35"/>
      <c r="AD190" s="35"/>
      <c r="AE190" s="35"/>
      <c r="AF190" s="35"/>
      <c r="AG190" s="35"/>
      <c r="AH190" s="35"/>
      <c r="AI190" s="35"/>
      <c r="AJ190" s="35"/>
      <c r="AK190" s="36"/>
      <c r="AL190" s="36"/>
      <c r="AM190" s="36"/>
      <c r="AN190" s="36"/>
      <c r="AO190" s="36"/>
      <c r="AP190" s="36"/>
      <c r="AQ190" s="36"/>
      <c r="AR190" s="36"/>
      <c r="AS190" s="36"/>
      <c r="AT190" s="36"/>
      <c r="AU190" s="36"/>
      <c r="AV190" s="36"/>
      <c r="AW190" s="36"/>
      <c r="AX190" s="36"/>
      <c r="AY190" s="36"/>
      <c r="AZ190" s="36"/>
      <c r="BA190" s="36"/>
      <c r="BB190" s="36"/>
    </row>
    <row r="191" spans="1:56" s="30" customFormat="1" ht="15" x14ac:dyDescent="0.2">
      <c r="B191" s="160" t="s">
        <v>305</v>
      </c>
      <c r="C191" s="33"/>
      <c r="D191" s="81"/>
      <c r="E191" s="33"/>
      <c r="G191" s="33"/>
      <c r="H191" s="81"/>
      <c r="J191" s="32"/>
      <c r="K191" s="37"/>
      <c r="L191" s="37"/>
      <c r="M191" s="37"/>
      <c r="N191" s="37"/>
      <c r="O191" s="254"/>
      <c r="Q191" s="34"/>
      <c r="R191" s="59"/>
      <c r="S191" s="35"/>
      <c r="T191" s="104"/>
      <c r="U191" s="35"/>
      <c r="V191" s="35"/>
      <c r="W191" s="35"/>
      <c r="X191" s="35"/>
      <c r="Y191" s="35"/>
      <c r="Z191" s="35"/>
      <c r="AA191" s="35"/>
      <c r="AB191" s="35"/>
      <c r="AC191" s="35"/>
      <c r="AD191" s="35"/>
      <c r="AE191" s="35"/>
      <c r="AF191" s="35"/>
      <c r="AG191" s="35"/>
      <c r="AH191" s="35"/>
      <c r="AI191" s="35"/>
      <c r="AJ191" s="35"/>
      <c r="AK191" s="36"/>
      <c r="AL191" s="36"/>
      <c r="AM191" s="36"/>
      <c r="AN191" s="36"/>
      <c r="AO191" s="36"/>
      <c r="AP191" s="36"/>
      <c r="AQ191" s="36"/>
      <c r="AR191" s="36"/>
      <c r="AS191" s="36"/>
      <c r="AT191" s="36"/>
      <c r="AU191" s="36"/>
      <c r="AV191" s="36"/>
      <c r="AW191" s="36"/>
      <c r="AX191" s="36"/>
      <c r="AY191" s="36"/>
      <c r="AZ191" s="36"/>
      <c r="BA191" s="36"/>
      <c r="BB191" s="36"/>
    </row>
    <row r="192" spans="1:56" s="30" customFormat="1" ht="60" x14ac:dyDescent="0.2">
      <c r="B192" s="76" t="s">
        <v>694</v>
      </c>
      <c r="C192" s="474" t="s">
        <v>110</v>
      </c>
      <c r="D192" s="474"/>
      <c r="E192" s="33"/>
      <c r="G192" s="37" t="str">
        <f>IF(C192="Muu tuote tai materiaali","Muun tuotteen tai materiaalin määrän yksikkö","")</f>
        <v/>
      </c>
      <c r="H192" s="81"/>
      <c r="J192" s="32"/>
      <c r="K192" s="37" t="s">
        <v>692</v>
      </c>
      <c r="L192" s="37" t="s">
        <v>185</v>
      </c>
      <c r="M192" s="37" t="s">
        <v>287</v>
      </c>
      <c r="N192" s="37"/>
      <c r="O192" s="254"/>
      <c r="Q192" s="34"/>
      <c r="R192" s="35" t="s">
        <v>318</v>
      </c>
      <c r="S192" s="35"/>
      <c r="T192" s="104"/>
      <c r="U192" s="35"/>
      <c r="V192" s="35"/>
      <c r="W192" s="35"/>
      <c r="X192" s="35"/>
      <c r="Y192" s="35"/>
      <c r="Z192" s="35"/>
      <c r="AA192" s="35"/>
      <c r="AB192" s="35"/>
      <c r="AC192" s="35"/>
      <c r="AD192" s="35"/>
      <c r="AE192" s="35"/>
      <c r="AF192" s="35"/>
      <c r="AG192" s="35"/>
      <c r="AH192" s="35"/>
      <c r="AI192" s="35"/>
      <c r="AJ192" s="35"/>
      <c r="AK192" s="36"/>
      <c r="AL192" s="36"/>
      <c r="AM192" s="36"/>
      <c r="AN192" s="36"/>
      <c r="AO192" s="36"/>
      <c r="AP192" s="36"/>
      <c r="AQ192" s="36"/>
      <c r="AR192" s="36"/>
      <c r="AS192" s="36"/>
      <c r="AT192" s="36"/>
      <c r="AU192" s="36"/>
      <c r="AV192" s="36"/>
      <c r="AW192" s="36"/>
      <c r="AX192" s="36"/>
      <c r="AY192" s="36"/>
      <c r="AZ192" s="36"/>
      <c r="BA192" s="36"/>
      <c r="BB192" s="36"/>
    </row>
    <row r="193" spans="1:56" s="30" customFormat="1" ht="15" x14ac:dyDescent="0.2">
      <c r="B193" s="52" t="s">
        <v>331</v>
      </c>
      <c r="C193" s="152"/>
      <c r="D193" s="314" t="str">
        <f>IFERROR(VLOOKUP(C192,Materiaalit!$C$20:$D$31,2,FALSE),"Yksikkö")</f>
        <v>Yksikkö</v>
      </c>
      <c r="E193" s="33"/>
      <c r="G193" s="41"/>
      <c r="H193" s="81"/>
      <c r="J193" s="32" t="s">
        <v>497</v>
      </c>
      <c r="K193" s="92" t="str">
        <f>IFERROR(IF(ISNUMBER(L193),L193,VLOOKUP(C192,Materiaalit!$C$20:$G$31,5,FALSE)),"--")</f>
        <v>--</v>
      </c>
      <c r="L193" s="39"/>
      <c r="M193" s="396" t="str">
        <f>IF(D193="Yksikkö","--",IF(AND(D193="Oma yksikkö",ISBLANK(G193)),"Puuttuu",IF(AND(D193="Oma yksikkö",NOT(ISBLANK(G193))),"kgCO2e/" &amp; G193,"kgCO2e/" &amp; D193)))</f>
        <v>--</v>
      </c>
      <c r="N193" s="41"/>
      <c r="O193" s="255"/>
      <c r="Q193" s="34"/>
      <c r="R193" s="213" t="str">
        <f>IF(AND(ISNUMBER(C193),ISNUMBER(K193)),C193*K193,"")</f>
        <v/>
      </c>
      <c r="S193" s="98" t="s">
        <v>160</v>
      </c>
      <c r="T193" s="104"/>
      <c r="U193" s="35"/>
      <c r="V193" s="35"/>
      <c r="W193" s="35"/>
      <c r="X193" s="35"/>
      <c r="Y193" s="35"/>
      <c r="Z193" s="35"/>
      <c r="AA193" s="35"/>
      <c r="AB193" s="35"/>
      <c r="AC193" s="35"/>
      <c r="AD193" s="35"/>
      <c r="AE193" s="35"/>
      <c r="AF193" s="35"/>
      <c r="AG193" s="35"/>
      <c r="AH193" s="35"/>
      <c r="AI193" s="35"/>
      <c r="AJ193" s="35"/>
      <c r="AK193" s="36"/>
      <c r="AL193" s="36"/>
      <c r="AM193" s="36"/>
      <c r="AN193" s="36"/>
      <c r="AO193" s="36"/>
      <c r="AP193" s="36"/>
      <c r="AQ193" s="36"/>
      <c r="AR193" s="36"/>
      <c r="AS193" s="36"/>
      <c r="AT193" s="36"/>
      <c r="AU193" s="36"/>
      <c r="AV193" s="36"/>
      <c r="AW193" s="36"/>
      <c r="AX193" s="36"/>
      <c r="AY193" s="36"/>
      <c r="AZ193" s="36"/>
      <c r="BA193" s="36"/>
      <c r="BB193" s="36"/>
    </row>
    <row r="194" spans="1:56" s="30" customFormat="1" ht="15" x14ac:dyDescent="0.2">
      <c r="B194" s="160" t="s">
        <v>306</v>
      </c>
      <c r="C194" s="33"/>
      <c r="D194" s="81"/>
      <c r="E194" s="33"/>
      <c r="G194" s="33"/>
      <c r="H194" s="81"/>
      <c r="J194" s="32"/>
      <c r="K194" s="37"/>
      <c r="L194" s="37"/>
      <c r="M194" s="37"/>
      <c r="N194" s="37"/>
      <c r="O194" s="254"/>
      <c r="Q194" s="34"/>
      <c r="R194" s="59"/>
      <c r="S194" s="35"/>
      <c r="T194" s="104"/>
      <c r="U194" s="35"/>
      <c r="V194" s="35"/>
      <c r="W194" s="35"/>
      <c r="X194" s="35"/>
      <c r="Y194" s="35"/>
      <c r="Z194" s="35"/>
      <c r="AA194" s="35"/>
      <c r="AB194" s="35"/>
      <c r="AC194" s="35"/>
      <c r="AD194" s="35"/>
      <c r="AE194" s="35"/>
      <c r="AF194" s="35"/>
      <c r="AG194" s="35"/>
      <c r="AH194" s="35"/>
      <c r="AI194" s="35"/>
      <c r="AJ194" s="35"/>
      <c r="AK194" s="36"/>
      <c r="AL194" s="36"/>
      <c r="AM194" s="36"/>
      <c r="AN194" s="36"/>
      <c r="AO194" s="36"/>
      <c r="AP194" s="36"/>
      <c r="AQ194" s="36"/>
      <c r="AR194" s="36"/>
      <c r="AS194" s="36"/>
      <c r="AT194" s="36"/>
      <c r="AU194" s="36"/>
      <c r="AV194" s="36"/>
      <c r="AW194" s="36"/>
      <c r="AX194" s="36"/>
      <c r="AY194" s="36"/>
      <c r="AZ194" s="36"/>
      <c r="BA194" s="36"/>
      <c r="BB194" s="36"/>
    </row>
    <row r="195" spans="1:56" s="30" customFormat="1" ht="60" x14ac:dyDescent="0.2">
      <c r="B195" s="76" t="s">
        <v>694</v>
      </c>
      <c r="C195" s="474" t="s">
        <v>110</v>
      </c>
      <c r="D195" s="474"/>
      <c r="E195" s="33"/>
      <c r="G195" s="37" t="str">
        <f>IF(C195="Muu tuote tai materiaali","Muun tuotteen tai materiaalin määrän yksikkö","")</f>
        <v/>
      </c>
      <c r="H195" s="81"/>
      <c r="J195" s="32"/>
      <c r="K195" s="37" t="s">
        <v>692</v>
      </c>
      <c r="L195" s="37" t="s">
        <v>185</v>
      </c>
      <c r="M195" s="37" t="s">
        <v>287</v>
      </c>
      <c r="N195" s="37"/>
      <c r="O195" s="254"/>
      <c r="Q195" s="34"/>
      <c r="R195" s="35" t="s">
        <v>318</v>
      </c>
      <c r="S195" s="35"/>
      <c r="T195" s="104"/>
      <c r="U195" s="35"/>
      <c r="V195" s="35"/>
      <c r="W195" s="35"/>
      <c r="X195" s="35"/>
      <c r="Y195" s="35"/>
      <c r="Z195" s="35"/>
      <c r="AA195" s="35"/>
      <c r="AB195" s="35"/>
      <c r="AC195" s="35"/>
      <c r="AD195" s="35"/>
      <c r="AE195" s="35"/>
      <c r="AF195" s="35"/>
      <c r="AG195" s="35"/>
      <c r="AH195" s="35"/>
      <c r="AI195" s="35"/>
      <c r="AJ195" s="35"/>
      <c r="AK195" s="36"/>
      <c r="AL195" s="36"/>
      <c r="AM195" s="36"/>
      <c r="AN195" s="36"/>
      <c r="AO195" s="36"/>
      <c r="AP195" s="36"/>
      <c r="AQ195" s="36"/>
      <c r="AR195" s="36"/>
      <c r="AS195" s="36"/>
      <c r="AT195" s="36"/>
      <c r="AU195" s="36"/>
      <c r="AV195" s="36"/>
      <c r="AW195" s="36"/>
      <c r="AX195" s="36"/>
      <c r="AY195" s="36"/>
      <c r="AZ195" s="36"/>
      <c r="BA195" s="36"/>
      <c r="BB195" s="36"/>
    </row>
    <row r="196" spans="1:56" s="30" customFormat="1" ht="15" x14ac:dyDescent="0.2">
      <c r="B196" s="52" t="s">
        <v>331</v>
      </c>
      <c r="C196" s="152"/>
      <c r="D196" s="314" t="str">
        <f>IFERROR(VLOOKUP(C195,Materiaalit!$C$20:$D$31,2,FALSE),"Yksikkö")</f>
        <v>Yksikkö</v>
      </c>
      <c r="E196" s="33"/>
      <c r="F196" s="33"/>
      <c r="G196" s="41"/>
      <c r="H196" s="81"/>
      <c r="J196" s="32" t="s">
        <v>497</v>
      </c>
      <c r="K196" s="92" t="str">
        <f>IFERROR(IF(ISNUMBER(L196),L196,VLOOKUP(C195,Materiaalit!$C$20:$G$31,5,FALSE)),"--")</f>
        <v>--</v>
      </c>
      <c r="L196" s="39"/>
      <c r="M196" s="396" t="str">
        <f>IF(D196="Yksikkö","--",IF(AND(D196="Oma yksikkö",ISBLANK(G196)),"Puuttuu",IF(AND(D196="Oma yksikkö",NOT(ISBLANK(G196))),"kgCO2e/" &amp; G196,"kgCO2e/" &amp; D196)))</f>
        <v>--</v>
      </c>
      <c r="N196" s="41"/>
      <c r="O196" s="255"/>
      <c r="Q196" s="34"/>
      <c r="R196" s="213" t="str">
        <f>IF(AND(ISNUMBER(C196),ISNUMBER(K196)),C196*K196,"")</f>
        <v/>
      </c>
      <c r="S196" s="98" t="s">
        <v>160</v>
      </c>
      <c r="T196" s="104"/>
      <c r="U196" s="35"/>
      <c r="V196" s="35"/>
      <c r="W196" s="35"/>
      <c r="X196" s="35"/>
      <c r="Y196" s="35"/>
      <c r="Z196" s="35"/>
      <c r="AA196" s="35"/>
      <c r="AB196" s="35"/>
      <c r="AC196" s="35"/>
      <c r="AD196" s="35"/>
      <c r="AE196" s="35"/>
      <c r="AF196" s="35"/>
      <c r="AG196" s="35"/>
      <c r="AH196" s="35"/>
      <c r="AI196" s="35"/>
      <c r="AJ196" s="35"/>
      <c r="AK196" s="36"/>
      <c r="AL196" s="36"/>
      <c r="AM196" s="36"/>
      <c r="AN196" s="36"/>
      <c r="AO196" s="36"/>
      <c r="AP196" s="36"/>
      <c r="AQ196" s="36"/>
      <c r="AR196" s="36"/>
      <c r="AS196" s="36"/>
      <c r="AT196" s="36"/>
      <c r="AU196" s="36"/>
      <c r="AV196" s="36"/>
      <c r="AW196" s="36"/>
      <c r="AX196" s="36"/>
      <c r="AY196" s="36"/>
      <c r="AZ196" s="36"/>
      <c r="BA196" s="36"/>
      <c r="BB196" s="36"/>
    </row>
    <row r="197" spans="1:56" s="30" customFormat="1" ht="15" x14ac:dyDescent="0.2">
      <c r="B197" s="160" t="s">
        <v>307</v>
      </c>
      <c r="C197" s="33"/>
      <c r="D197" s="81"/>
      <c r="E197" s="33"/>
      <c r="G197" s="33"/>
      <c r="H197" s="81"/>
      <c r="J197" s="32"/>
      <c r="K197" s="37"/>
      <c r="L197" s="37"/>
      <c r="M197" s="37"/>
      <c r="N197" s="37"/>
      <c r="O197" s="254"/>
      <c r="Q197" s="34"/>
      <c r="R197" s="59"/>
      <c r="S197" s="35"/>
      <c r="T197" s="104"/>
      <c r="U197" s="35"/>
      <c r="V197" s="35"/>
      <c r="W197" s="35"/>
      <c r="X197" s="35"/>
      <c r="Y197" s="35"/>
      <c r="Z197" s="35"/>
      <c r="AA197" s="35"/>
      <c r="AB197" s="35"/>
      <c r="AC197" s="35"/>
      <c r="AD197" s="35"/>
      <c r="AE197" s="35"/>
      <c r="AF197" s="35"/>
      <c r="AG197" s="35"/>
      <c r="AH197" s="35"/>
      <c r="AI197" s="35"/>
      <c r="AJ197" s="35"/>
      <c r="AK197" s="36"/>
      <c r="AL197" s="36"/>
      <c r="AM197" s="36"/>
      <c r="AN197" s="36"/>
      <c r="AO197" s="36"/>
      <c r="AP197" s="36"/>
      <c r="AQ197" s="36"/>
      <c r="AR197" s="36"/>
      <c r="AS197" s="36"/>
      <c r="AT197" s="36"/>
      <c r="AU197" s="36"/>
      <c r="AV197" s="36"/>
      <c r="AW197" s="36"/>
      <c r="AX197" s="36"/>
      <c r="AY197" s="36"/>
      <c r="AZ197" s="36"/>
      <c r="BA197" s="36"/>
      <c r="BB197" s="36"/>
    </row>
    <row r="198" spans="1:56" s="30" customFormat="1" ht="60" x14ac:dyDescent="0.2">
      <c r="B198" s="76" t="s">
        <v>694</v>
      </c>
      <c r="C198" s="474" t="s">
        <v>110</v>
      </c>
      <c r="D198" s="474"/>
      <c r="E198" s="33"/>
      <c r="G198" s="37" t="str">
        <f>IF(C198="Muu tuote tai materiaali","Muun tuotteen tai materiaalin määrän yksikkö","")</f>
        <v/>
      </c>
      <c r="H198" s="81"/>
      <c r="J198" s="32"/>
      <c r="K198" s="37" t="s">
        <v>692</v>
      </c>
      <c r="L198" s="37" t="s">
        <v>185</v>
      </c>
      <c r="M198" s="37" t="s">
        <v>287</v>
      </c>
      <c r="N198" s="37"/>
      <c r="O198" s="254"/>
      <c r="Q198" s="34"/>
      <c r="R198" s="35" t="s">
        <v>318</v>
      </c>
      <c r="S198" s="35"/>
      <c r="T198" s="104"/>
      <c r="U198" s="35"/>
      <c r="V198" s="35"/>
      <c r="W198" s="35"/>
      <c r="X198" s="35"/>
      <c r="Y198" s="35"/>
      <c r="Z198" s="35"/>
      <c r="AA198" s="35"/>
      <c r="AB198" s="35"/>
      <c r="AC198" s="35"/>
      <c r="AD198" s="35"/>
      <c r="AE198" s="35"/>
      <c r="AF198" s="35"/>
      <c r="AG198" s="35"/>
      <c r="AH198" s="35"/>
      <c r="AI198" s="35"/>
      <c r="AJ198" s="35"/>
      <c r="AK198" s="36"/>
      <c r="AL198" s="36"/>
      <c r="AM198" s="36"/>
      <c r="AN198" s="36"/>
      <c r="AO198" s="36"/>
      <c r="AP198" s="36"/>
      <c r="AQ198" s="36"/>
      <c r="AR198" s="36"/>
      <c r="AS198" s="36"/>
      <c r="AT198" s="36"/>
      <c r="AU198" s="36"/>
      <c r="AV198" s="36"/>
      <c r="AW198" s="36"/>
      <c r="AX198" s="36"/>
      <c r="AY198" s="36"/>
      <c r="AZ198" s="36"/>
      <c r="BA198" s="36"/>
      <c r="BB198" s="36"/>
    </row>
    <row r="199" spans="1:56" s="30" customFormat="1" ht="15" x14ac:dyDescent="0.2">
      <c r="B199" s="52" t="s">
        <v>331</v>
      </c>
      <c r="C199" s="152"/>
      <c r="D199" s="314" t="str">
        <f>IFERROR(VLOOKUP(C198,Materiaalit!$C$20:$D$31,2,FALSE),"Yksikkö")</f>
        <v>Yksikkö</v>
      </c>
      <c r="E199" s="33"/>
      <c r="G199" s="41"/>
      <c r="H199" s="81"/>
      <c r="J199" s="32" t="s">
        <v>497</v>
      </c>
      <c r="K199" s="92" t="str">
        <f>IFERROR(IF(ISNUMBER(L199),L199,VLOOKUP(C198,Materiaalit!$C$20:$G$31,5,FALSE)),"--")</f>
        <v>--</v>
      </c>
      <c r="L199" s="39"/>
      <c r="M199" s="396" t="str">
        <f>IF(D199="Yksikkö","--",IF(AND(D199="Oma yksikkö",ISBLANK(G199)),"Puuttuu",IF(AND(D199="Oma yksikkö",NOT(ISBLANK(G199))),"kgCO2e/" &amp; G199,"kgCO2e/" &amp; D199)))</f>
        <v>--</v>
      </c>
      <c r="N199" s="41"/>
      <c r="O199" s="255"/>
      <c r="Q199" s="34"/>
      <c r="R199" s="213" t="str">
        <f>IF(AND(ISNUMBER(C199),ISNUMBER(K199)),C199*K199,"")</f>
        <v/>
      </c>
      <c r="S199" s="98" t="s">
        <v>160</v>
      </c>
      <c r="T199" s="104"/>
      <c r="U199" s="35"/>
      <c r="V199" s="35"/>
      <c r="W199" s="35"/>
      <c r="X199" s="35"/>
      <c r="Y199" s="35"/>
      <c r="Z199" s="35"/>
      <c r="AA199" s="35"/>
      <c r="AB199" s="35"/>
      <c r="AC199" s="35"/>
      <c r="AD199" s="35"/>
      <c r="AE199" s="35"/>
      <c r="AF199" s="35"/>
      <c r="AG199" s="35"/>
      <c r="AH199" s="35"/>
      <c r="AI199" s="35"/>
      <c r="AJ199" s="35"/>
      <c r="AK199" s="36"/>
      <c r="AL199" s="36"/>
      <c r="AM199" s="36"/>
      <c r="AN199" s="36"/>
      <c r="AO199" s="36"/>
      <c r="AP199" s="36"/>
      <c r="AQ199" s="36"/>
      <c r="AR199" s="36"/>
      <c r="AS199" s="36"/>
      <c r="AT199" s="36"/>
      <c r="AU199" s="36"/>
      <c r="AV199" s="36"/>
      <c r="AW199" s="36"/>
      <c r="AX199" s="36"/>
      <c r="AY199" s="36"/>
      <c r="AZ199" s="36"/>
      <c r="BA199" s="36"/>
      <c r="BB199" s="36"/>
    </row>
    <row r="200" spans="1:56" s="30" customFormat="1" ht="15" x14ac:dyDescent="0.2">
      <c r="C200" s="33"/>
      <c r="D200" s="81"/>
      <c r="G200" s="33"/>
      <c r="H200" s="81"/>
      <c r="J200" s="32"/>
      <c r="K200" s="33"/>
      <c r="L200" s="33"/>
      <c r="M200" s="81"/>
      <c r="N200" s="81"/>
      <c r="O200" s="249"/>
      <c r="Q200" s="34"/>
      <c r="R200" s="95"/>
      <c r="S200" s="35"/>
      <c r="T200" s="35"/>
      <c r="U200" s="35"/>
      <c r="V200" s="35"/>
      <c r="W200" s="35"/>
      <c r="X200" s="35"/>
      <c r="Y200" s="35"/>
      <c r="Z200" s="35"/>
      <c r="AA200" s="35"/>
      <c r="AB200" s="35"/>
      <c r="AC200" s="35"/>
      <c r="AD200" s="35"/>
      <c r="AE200" s="35"/>
      <c r="AF200" s="35"/>
      <c r="AG200" s="35"/>
      <c r="AH200" s="35"/>
      <c r="AI200" s="35"/>
      <c r="AJ200" s="35"/>
      <c r="AK200" s="36"/>
      <c r="AL200" s="36"/>
      <c r="AM200" s="36"/>
      <c r="AN200" s="36"/>
      <c r="AO200" s="36"/>
      <c r="AP200" s="36"/>
      <c r="AQ200" s="36"/>
      <c r="AR200" s="36"/>
      <c r="AS200" s="36"/>
      <c r="AT200" s="36"/>
      <c r="AU200" s="36"/>
      <c r="AV200" s="36"/>
      <c r="AW200" s="36"/>
      <c r="AX200" s="36"/>
      <c r="AY200" s="36"/>
      <c r="AZ200" s="36"/>
      <c r="BA200" s="36"/>
      <c r="BB200" s="36"/>
    </row>
    <row r="201" spans="1:56" s="30" customFormat="1" ht="18" x14ac:dyDescent="0.2">
      <c r="A201" s="289"/>
      <c r="B201" s="286" t="s">
        <v>667</v>
      </c>
      <c r="C201" s="287"/>
      <c r="D201" s="288"/>
      <c r="E201" s="289"/>
      <c r="F201" s="289"/>
      <c r="G201" s="287"/>
      <c r="H201" s="288"/>
      <c r="I201" s="289"/>
      <c r="J201" s="289"/>
      <c r="K201" s="290"/>
      <c r="L201" s="290"/>
      <c r="M201" s="288"/>
      <c r="N201" s="288"/>
      <c r="O201" s="291"/>
      <c r="P201" s="289"/>
      <c r="Q201" s="292"/>
      <c r="R201" s="293"/>
      <c r="S201" s="294"/>
      <c r="T201" s="294"/>
      <c r="U201" s="294"/>
      <c r="V201" s="294"/>
      <c r="W201" s="294"/>
      <c r="X201" s="294"/>
      <c r="Y201" s="294"/>
      <c r="Z201" s="294"/>
      <c r="AA201" s="294"/>
      <c r="AB201" s="294"/>
      <c r="AC201" s="294"/>
      <c r="AD201" s="294"/>
      <c r="AE201" s="294"/>
      <c r="AF201" s="294"/>
      <c r="AG201" s="294"/>
      <c r="AH201" s="294"/>
      <c r="AI201" s="294"/>
      <c r="AJ201" s="294"/>
      <c r="AK201" s="295"/>
      <c r="AL201" s="295"/>
      <c r="AM201" s="295"/>
      <c r="AN201" s="295"/>
      <c r="AO201" s="295"/>
      <c r="AP201" s="295"/>
      <c r="AQ201" s="295"/>
      <c r="AR201" s="295"/>
      <c r="AS201" s="295"/>
      <c r="AT201" s="295"/>
      <c r="AU201" s="295"/>
      <c r="AV201" s="295"/>
      <c r="AW201" s="295"/>
      <c r="AX201" s="295"/>
      <c r="AY201" s="295"/>
      <c r="AZ201" s="295"/>
      <c r="BA201" s="295"/>
      <c r="BB201" s="295"/>
    </row>
    <row r="202" spans="1:56" s="30" customFormat="1" ht="15.75" x14ac:dyDescent="0.2">
      <c r="B202" s="8"/>
      <c r="C202" s="33"/>
      <c r="D202" s="81"/>
      <c r="G202" s="33"/>
      <c r="H202" s="81"/>
      <c r="J202" s="32"/>
      <c r="K202" s="33"/>
      <c r="L202" s="33"/>
      <c r="M202" s="81"/>
      <c r="N202" s="81"/>
      <c r="O202" s="249" t="s">
        <v>584</v>
      </c>
      <c r="P202" s="67"/>
      <c r="Q202" s="104"/>
      <c r="R202" s="95"/>
      <c r="S202" s="133"/>
      <c r="T202" s="36"/>
      <c r="U202" s="35"/>
      <c r="V202" s="35"/>
      <c r="W202" s="35"/>
      <c r="X202" s="35"/>
      <c r="Y202" s="35"/>
      <c r="Z202" s="35"/>
      <c r="AA202" s="35"/>
      <c r="AB202" s="35"/>
      <c r="AC202" s="35"/>
      <c r="AD202" s="35"/>
      <c r="AE202" s="35"/>
      <c r="AF202" s="35"/>
      <c r="AG202" s="35"/>
      <c r="AH202" s="35"/>
      <c r="AI202" s="35"/>
      <c r="AJ202" s="35"/>
      <c r="AK202" s="35"/>
      <c r="AL202" s="35"/>
      <c r="AM202" s="36"/>
      <c r="AN202" s="36"/>
      <c r="AO202" s="36"/>
      <c r="AP202" s="36"/>
      <c r="AQ202" s="36"/>
      <c r="AR202" s="36"/>
      <c r="AS202" s="36"/>
      <c r="AT202" s="36"/>
      <c r="AU202" s="36"/>
      <c r="AV202" s="36"/>
      <c r="AW202" s="36"/>
      <c r="AX202" s="36"/>
      <c r="AY202" s="36"/>
      <c r="AZ202" s="36"/>
      <c r="BA202" s="36"/>
      <c r="BB202" s="36"/>
      <c r="BC202" s="54"/>
      <c r="BD202" s="54"/>
    </row>
    <row r="203" spans="1:56" s="30" customFormat="1" ht="45.75" customHeight="1" x14ac:dyDescent="0.2">
      <c r="B203" s="477" t="s">
        <v>516</v>
      </c>
      <c r="C203" s="477"/>
      <c r="D203" s="477"/>
      <c r="E203" s="477"/>
      <c r="F203" s="477"/>
      <c r="G203" s="477"/>
      <c r="H203" s="477"/>
      <c r="J203" s="32"/>
      <c r="K203" s="41"/>
      <c r="L203" s="41"/>
      <c r="M203" s="40"/>
      <c r="N203" s="40"/>
      <c r="O203" s="250"/>
      <c r="Q203" s="34"/>
      <c r="R203" s="59"/>
      <c r="S203" s="98"/>
      <c r="T203" s="35"/>
      <c r="U203" s="35"/>
      <c r="V203" s="35"/>
      <c r="W203" s="35"/>
      <c r="X203" s="35"/>
      <c r="Y203" s="35"/>
      <c r="Z203" s="35"/>
      <c r="AA203" s="35"/>
      <c r="AB203" s="104"/>
      <c r="AC203" s="35"/>
      <c r="AD203" s="35"/>
      <c r="AE203" s="35"/>
      <c r="AF203" s="35"/>
      <c r="AG203" s="35"/>
      <c r="AH203" s="35"/>
      <c r="AI203" s="35"/>
      <c r="AJ203" s="35"/>
      <c r="AK203" s="36"/>
      <c r="AL203" s="36"/>
      <c r="AM203" s="36"/>
      <c r="AN203" s="36"/>
      <c r="AO203" s="36"/>
      <c r="AP203" s="36"/>
      <c r="AQ203" s="36"/>
      <c r="AR203" s="36"/>
      <c r="AS203" s="36"/>
      <c r="AT203" s="36"/>
      <c r="AU203" s="36"/>
      <c r="AV203" s="36"/>
      <c r="AW203" s="36"/>
      <c r="AX203" s="36"/>
      <c r="AY203" s="36"/>
      <c r="AZ203" s="36"/>
      <c r="BA203" s="36"/>
      <c r="BB203" s="36"/>
    </row>
    <row r="204" spans="1:56" s="30" customFormat="1" ht="60.75" customHeight="1" x14ac:dyDescent="0.2">
      <c r="B204" s="477" t="s">
        <v>661</v>
      </c>
      <c r="C204" s="477"/>
      <c r="D204" s="477"/>
      <c r="E204" s="477"/>
      <c r="F204" s="477"/>
      <c r="G204" s="477"/>
      <c r="H204" s="477"/>
      <c r="J204" s="32"/>
      <c r="K204" s="41"/>
      <c r="L204" s="41"/>
      <c r="M204" s="40"/>
      <c r="N204" s="40"/>
      <c r="O204" s="250"/>
      <c r="Q204" s="34"/>
      <c r="R204" s="59"/>
      <c r="S204" s="98"/>
      <c r="T204" s="35"/>
      <c r="U204" s="35"/>
      <c r="V204" s="35"/>
      <c r="W204" s="35"/>
      <c r="X204" s="35"/>
      <c r="Y204" s="35"/>
      <c r="Z204" s="35"/>
      <c r="AA204" s="35"/>
      <c r="AB204" s="104"/>
      <c r="AC204" s="35"/>
      <c r="AD204" s="35"/>
      <c r="AE204" s="35"/>
      <c r="AF204" s="35"/>
      <c r="AG204" s="35"/>
      <c r="AH204" s="35"/>
      <c r="AI204" s="35"/>
      <c r="AJ204" s="35"/>
      <c r="AK204" s="36"/>
      <c r="AL204" s="36"/>
      <c r="AM204" s="36"/>
      <c r="AN204" s="36"/>
      <c r="AO204" s="36"/>
      <c r="AP204" s="36"/>
      <c r="AQ204" s="36"/>
      <c r="AR204" s="36"/>
      <c r="AS204" s="36"/>
      <c r="AT204" s="36"/>
      <c r="AU204" s="36"/>
      <c r="AV204" s="36"/>
      <c r="AW204" s="36"/>
      <c r="AX204" s="36"/>
      <c r="AY204" s="36"/>
      <c r="AZ204" s="36"/>
      <c r="BA204" s="36"/>
      <c r="BB204" s="36"/>
    </row>
    <row r="205" spans="1:56" s="30" customFormat="1" ht="24" customHeight="1" x14ac:dyDescent="0.2">
      <c r="B205" s="83" t="s">
        <v>740</v>
      </c>
      <c r="C205" s="83"/>
      <c r="D205" s="83"/>
      <c r="E205" s="83"/>
      <c r="F205" s="83"/>
      <c r="G205" s="83"/>
      <c r="H205" s="83"/>
      <c r="J205" s="32"/>
      <c r="K205" s="41"/>
      <c r="L205" s="41"/>
      <c r="M205" s="40"/>
      <c r="N205" s="40"/>
      <c r="O205" s="250"/>
      <c r="Q205" s="34"/>
      <c r="R205" s="59"/>
      <c r="S205" s="98"/>
      <c r="T205" s="35"/>
      <c r="U205" s="35"/>
      <c r="V205" s="35"/>
      <c r="W205" s="35"/>
      <c r="X205" s="35"/>
      <c r="Y205" s="35"/>
      <c r="Z205" s="35"/>
      <c r="AA205" s="35"/>
      <c r="AB205" s="104"/>
      <c r="AC205" s="35"/>
      <c r="AD205" s="35"/>
      <c r="AE205" s="35"/>
      <c r="AF205" s="35"/>
      <c r="AG205" s="35"/>
      <c r="AH205" s="35"/>
      <c r="AI205" s="35"/>
      <c r="AJ205" s="35"/>
      <c r="AK205" s="36"/>
      <c r="AL205" s="36"/>
      <c r="AM205" s="36"/>
      <c r="AN205" s="36"/>
      <c r="AO205" s="36"/>
      <c r="AP205" s="36"/>
      <c r="AQ205" s="36"/>
      <c r="AR205" s="36"/>
      <c r="AS205" s="36"/>
      <c r="AT205" s="36"/>
      <c r="AU205" s="36"/>
      <c r="AV205" s="36"/>
      <c r="AW205" s="36"/>
      <c r="AX205" s="36"/>
      <c r="AY205" s="36"/>
      <c r="AZ205" s="36"/>
      <c r="BA205" s="36"/>
      <c r="BB205" s="36"/>
    </row>
    <row r="206" spans="1:56" s="30" customFormat="1" ht="18.75" customHeight="1" x14ac:dyDescent="0.2">
      <c r="B206" s="83"/>
      <c r="C206" s="83"/>
      <c r="D206" s="83"/>
      <c r="E206" s="83"/>
      <c r="F206" s="83"/>
      <c r="G206" s="83"/>
      <c r="H206" s="83"/>
      <c r="J206" s="32"/>
      <c r="K206" s="41"/>
      <c r="L206" s="41"/>
      <c r="M206" s="40"/>
      <c r="N206" s="40"/>
      <c r="O206" s="250"/>
      <c r="Q206" s="34"/>
      <c r="R206" s="59"/>
      <c r="S206" s="98"/>
      <c r="T206" s="35"/>
      <c r="U206" s="35"/>
      <c r="V206" s="35"/>
      <c r="W206" s="35"/>
      <c r="X206" s="35"/>
      <c r="Y206" s="35"/>
      <c r="Z206" s="35"/>
      <c r="AA206" s="35"/>
      <c r="AB206" s="104"/>
      <c r="AC206" s="35"/>
      <c r="AD206" s="35"/>
      <c r="AE206" s="35"/>
      <c r="AF206" s="35"/>
      <c r="AG206" s="35"/>
      <c r="AH206" s="35"/>
      <c r="AI206" s="35"/>
      <c r="AJ206" s="35"/>
      <c r="AK206" s="36"/>
      <c r="AL206" s="36"/>
      <c r="AM206" s="36"/>
      <c r="AN206" s="36"/>
      <c r="AO206" s="36"/>
      <c r="AP206" s="36"/>
      <c r="AQ206" s="36"/>
      <c r="AR206" s="36"/>
      <c r="AS206" s="36"/>
      <c r="AT206" s="36"/>
      <c r="AU206" s="36"/>
      <c r="AV206" s="36"/>
      <c r="AW206" s="36"/>
      <c r="AX206" s="36"/>
      <c r="AY206" s="36"/>
      <c r="AZ206" s="36"/>
      <c r="BA206" s="36"/>
      <c r="BB206" s="36"/>
    </row>
    <row r="207" spans="1:56" s="30" customFormat="1" ht="15.75" x14ac:dyDescent="0.2">
      <c r="B207" s="8"/>
      <c r="C207" s="33"/>
      <c r="D207" s="81"/>
      <c r="G207" s="33"/>
      <c r="H207" s="81"/>
      <c r="J207" s="32"/>
      <c r="K207" s="33"/>
      <c r="L207" s="33"/>
      <c r="M207" s="81"/>
      <c r="N207" s="81"/>
      <c r="O207" s="251"/>
      <c r="Q207" s="34"/>
      <c r="R207" s="95"/>
      <c r="S207" s="133"/>
      <c r="T207" s="36"/>
      <c r="U207" s="35"/>
      <c r="V207" s="35"/>
      <c r="W207" s="35"/>
      <c r="X207" s="35"/>
      <c r="Y207" s="35"/>
      <c r="Z207" s="35"/>
      <c r="AA207" s="35"/>
      <c r="AB207" s="35"/>
      <c r="AC207" s="35"/>
      <c r="AD207" s="35"/>
      <c r="AE207" s="35"/>
      <c r="AF207" s="35"/>
      <c r="AG207" s="35"/>
      <c r="AH207" s="35"/>
      <c r="AI207" s="35"/>
      <c r="AJ207" s="35"/>
      <c r="AK207" s="35"/>
      <c r="AL207" s="35"/>
      <c r="AM207" s="36"/>
      <c r="AN207" s="36"/>
      <c r="AO207" s="36"/>
      <c r="AP207" s="36"/>
      <c r="AQ207" s="36"/>
      <c r="AR207" s="36"/>
      <c r="AS207" s="36"/>
      <c r="AT207" s="36"/>
      <c r="AU207" s="36"/>
      <c r="AV207" s="36"/>
      <c r="AW207" s="36"/>
      <c r="AX207" s="36"/>
      <c r="AY207" s="36"/>
      <c r="AZ207" s="36"/>
      <c r="BA207" s="36"/>
      <c r="BB207" s="36"/>
      <c r="BC207" s="54"/>
      <c r="BD207" s="54"/>
    </row>
    <row r="208" spans="1:56" s="30" customFormat="1" ht="15.75" x14ac:dyDescent="0.2">
      <c r="B208" s="8" t="str">
        <f>B185</f>
        <v>Kemikaali-, tuote- tai materiaalilaji 1</v>
      </c>
      <c r="C208" s="33"/>
      <c r="D208" s="81"/>
      <c r="G208" s="33"/>
      <c r="H208" s="81"/>
      <c r="J208" s="32"/>
      <c r="K208" s="33"/>
      <c r="L208" s="33"/>
      <c r="M208" s="81"/>
      <c r="N208" s="81"/>
      <c r="O208" s="251"/>
      <c r="Q208" s="34"/>
      <c r="R208" s="35" t="s">
        <v>318</v>
      </c>
      <c r="S208" s="35"/>
      <c r="T208" s="35"/>
      <c r="U208" s="35"/>
      <c r="V208" s="35"/>
      <c r="W208" s="35"/>
      <c r="X208" s="35"/>
      <c r="Y208" s="35"/>
      <c r="Z208" s="35"/>
      <c r="AA208" s="35"/>
      <c r="AB208" s="104"/>
      <c r="AC208" s="35"/>
      <c r="AD208" s="35"/>
      <c r="AE208" s="35"/>
      <c r="AF208" s="35"/>
      <c r="AG208" s="35"/>
      <c r="AH208" s="35"/>
      <c r="AI208" s="35"/>
      <c r="AJ208" s="35"/>
      <c r="AK208" s="36"/>
      <c r="AL208" s="36"/>
      <c r="AM208" s="36"/>
      <c r="AN208" s="36"/>
      <c r="AO208" s="36"/>
      <c r="AP208" s="36"/>
      <c r="AQ208" s="36"/>
      <c r="AR208" s="36"/>
      <c r="AS208" s="36"/>
      <c r="AT208" s="36"/>
      <c r="AU208" s="36"/>
      <c r="AV208" s="36"/>
      <c r="AW208" s="36"/>
      <c r="AX208" s="36"/>
      <c r="AY208" s="36"/>
      <c r="AZ208" s="36"/>
      <c r="BA208" s="36"/>
      <c r="BB208" s="36"/>
    </row>
    <row r="209" spans="2:54" s="30" customFormat="1" ht="15" x14ac:dyDescent="0.2">
      <c r="B209" s="52" t="s">
        <v>340</v>
      </c>
      <c r="C209" s="156"/>
      <c r="D209" s="81" t="s">
        <v>252</v>
      </c>
      <c r="G209" s="33" t="s">
        <v>308</v>
      </c>
      <c r="H209" s="81"/>
      <c r="J209" s="32"/>
      <c r="K209" s="37" t="s">
        <v>297</v>
      </c>
      <c r="L209" s="37" t="s">
        <v>185</v>
      </c>
      <c r="M209" s="81"/>
      <c r="N209" s="81"/>
      <c r="O209" s="251"/>
      <c r="Q209" s="34"/>
      <c r="R209" s="48" t="str">
        <f>IF(AND(ISNUMBER(G210),ISNUMBER(C209)),SUM(R210,R213:R215),"")</f>
        <v/>
      </c>
      <c r="S209" s="98" t="s">
        <v>160</v>
      </c>
      <c r="T209" s="35"/>
      <c r="U209" s="35"/>
      <c r="V209" s="35"/>
      <c r="W209" s="35"/>
      <c r="X209" s="35"/>
      <c r="Y209" s="35"/>
      <c r="Z209" s="35"/>
      <c r="AA209" s="35"/>
      <c r="AB209" s="104"/>
      <c r="AC209" s="35"/>
      <c r="AD209" s="35"/>
      <c r="AE209" s="35"/>
      <c r="AF209" s="35"/>
      <c r="AG209" s="35"/>
      <c r="AH209" s="35"/>
      <c r="AI209" s="35"/>
      <c r="AJ209" s="35"/>
      <c r="AK209" s="36"/>
      <c r="AL209" s="36"/>
      <c r="AM209" s="36"/>
      <c r="AN209" s="36"/>
      <c r="AO209" s="36"/>
      <c r="AP209" s="36"/>
      <c r="AQ209" s="36"/>
      <c r="AR209" s="36"/>
      <c r="AS209" s="36"/>
      <c r="AT209" s="36"/>
      <c r="AU209" s="36"/>
      <c r="AV209" s="36"/>
      <c r="AW209" s="36"/>
      <c r="AX209" s="36"/>
      <c r="AY209" s="36"/>
      <c r="AZ209" s="36"/>
      <c r="BA209" s="36"/>
      <c r="BB209" s="36"/>
    </row>
    <row r="210" spans="2:54" s="30" customFormat="1" ht="30" x14ac:dyDescent="0.2">
      <c r="B210" s="151" t="s">
        <v>659</v>
      </c>
      <c r="C210" s="475" t="s">
        <v>253</v>
      </c>
      <c r="D210" s="476"/>
      <c r="G210" s="152"/>
      <c r="H210" s="81" t="s">
        <v>5</v>
      </c>
      <c r="J210" s="169" t="s">
        <v>395</v>
      </c>
      <c r="K210" s="92" t="str">
        <f>IFERROR(IF(ISNUMBER(L210),L210,(VLOOKUP(C211,Kalusto!$C$45:$G$84,5,FALSE)*(VLOOKUP(C212,Muut!$D$40:$E$43,2,FALSE)))),"--")</f>
        <v>--</v>
      </c>
      <c r="L210" s="39"/>
      <c r="M210" s="40" t="s">
        <v>184</v>
      </c>
      <c r="N210" s="40"/>
      <c r="O210" s="250"/>
      <c r="Q210" s="34"/>
      <c r="R210" s="48" t="str">
        <f>IF(ISNUMBER(Y211*X211*K210),Y211*X211*K210,"")</f>
        <v/>
      </c>
      <c r="S210" s="98" t="s">
        <v>160</v>
      </c>
      <c r="T210" s="35" t="s">
        <v>400</v>
      </c>
      <c r="U210" s="35" t="s">
        <v>349</v>
      </c>
      <c r="V210" s="35" t="s">
        <v>397</v>
      </c>
      <c r="W210" s="35" t="s">
        <v>398</v>
      </c>
      <c r="X210" s="35" t="s">
        <v>401</v>
      </c>
      <c r="Y210" s="35" t="s">
        <v>403</v>
      </c>
      <c r="Z210" s="35" t="s">
        <v>339</v>
      </c>
      <c r="AA210" s="35"/>
      <c r="AB210" s="104"/>
      <c r="AC210" s="35"/>
      <c r="AD210" s="35"/>
      <c r="AE210" s="35"/>
      <c r="AF210" s="35"/>
      <c r="AG210" s="35"/>
      <c r="AH210" s="35"/>
      <c r="AI210" s="35"/>
      <c r="AJ210" s="35"/>
      <c r="AK210" s="36"/>
      <c r="AL210" s="36"/>
      <c r="AM210" s="36"/>
      <c r="AN210" s="36"/>
      <c r="AO210" s="36"/>
      <c r="AP210" s="36"/>
      <c r="AQ210" s="36"/>
      <c r="AR210" s="36"/>
      <c r="AS210" s="36"/>
      <c r="AT210" s="36"/>
      <c r="AU210" s="36"/>
      <c r="AV210" s="36"/>
      <c r="AW210" s="36"/>
      <c r="AX210" s="36"/>
      <c r="AY210" s="36"/>
      <c r="AZ210" s="36"/>
      <c r="BA210" s="36"/>
      <c r="BB210" s="36"/>
    </row>
    <row r="211" spans="2:54" s="30" customFormat="1" ht="30" x14ac:dyDescent="0.2">
      <c r="B211" s="76" t="s">
        <v>479</v>
      </c>
      <c r="C211" s="471" t="s">
        <v>298</v>
      </c>
      <c r="D211" s="472"/>
      <c r="E211" s="472"/>
      <c r="F211" s="472"/>
      <c r="G211" s="473"/>
      <c r="J211" s="32"/>
      <c r="K211" s="37"/>
      <c r="L211" s="37"/>
      <c r="M211" s="40"/>
      <c r="N211" s="40"/>
      <c r="O211" s="250"/>
      <c r="Q211" s="45"/>
      <c r="R211" s="104"/>
      <c r="S211" s="35"/>
      <c r="T211" s="46" t="str">
        <f>IFERROR(IF(ISNUMBER(L210),"Kohdetieto",VLOOKUP(C211,Kalusto!$C$45:$L$84,7,FALSE)),"--")</f>
        <v>--</v>
      </c>
      <c r="U211" s="46" t="str">
        <f>IFERROR(IF(ISNUMBER(L210),"Kohdetieto",VLOOKUP(C211,Kalusto!$C$45:$L$84,8,FALSE)),"--")</f>
        <v>--</v>
      </c>
      <c r="V211" s="47" t="str">
        <f>IFERROR(IF(ISNUMBER(L210),"Kohdetieto",VLOOKUP(C211,Kalusto!$C$45:$L$84,9,FALSE)),"--")</f>
        <v>--</v>
      </c>
      <c r="W211" s="47" t="str">
        <f>IFERROR(IF(ISNUMBER(L210),"Kohdetieto",VLOOKUP(C211,Kalusto!$C$45:$L$84,10,FALSE)),"--")</f>
        <v>--</v>
      </c>
      <c r="X211" s="48" t="str">
        <f>IF(ISBLANK(C209),"",C209/1000)</f>
        <v/>
      </c>
      <c r="Y211" s="46" t="str">
        <f>IF(ISNUMBER(G210),G210,"")</f>
        <v/>
      </c>
      <c r="Z211" s="49" t="str">
        <f>IF(ISNUMBER(L210),L210,K210)</f>
        <v>--</v>
      </c>
      <c r="AA211" s="35"/>
      <c r="AB211" s="104"/>
      <c r="AC211" s="35"/>
      <c r="AD211" s="35"/>
      <c r="AE211" s="35"/>
      <c r="AF211" s="35"/>
      <c r="AG211" s="35"/>
      <c r="AH211" s="35"/>
      <c r="AI211" s="35"/>
      <c r="AJ211" s="35"/>
      <c r="AK211" s="36"/>
      <c r="AL211" s="36"/>
      <c r="AM211" s="36"/>
      <c r="AN211" s="36"/>
      <c r="AO211" s="36"/>
      <c r="AP211" s="36"/>
      <c r="AQ211" s="36"/>
      <c r="AR211" s="36"/>
      <c r="AS211" s="36"/>
      <c r="AT211" s="36"/>
      <c r="AU211" s="36"/>
      <c r="AV211" s="36"/>
      <c r="AW211" s="36"/>
      <c r="AX211" s="36"/>
      <c r="AY211" s="36"/>
      <c r="AZ211" s="36"/>
      <c r="BA211" s="36"/>
      <c r="BB211" s="36"/>
    </row>
    <row r="212" spans="2:54" s="30" customFormat="1" ht="15" x14ac:dyDescent="0.2">
      <c r="B212" s="76" t="s">
        <v>457</v>
      </c>
      <c r="C212" s="156" t="s">
        <v>309</v>
      </c>
      <c r="D212" s="33"/>
      <c r="E212" s="33"/>
      <c r="F212" s="33"/>
      <c r="G212" s="33"/>
      <c r="H212" s="57"/>
      <c r="J212" s="169"/>
      <c r="K212" s="37" t="s">
        <v>297</v>
      </c>
      <c r="L212" s="37" t="s">
        <v>185</v>
      </c>
      <c r="M212" s="40"/>
      <c r="N212" s="40"/>
      <c r="O212" s="250"/>
      <c r="Q212" s="45"/>
      <c r="R212" s="35"/>
      <c r="S212" s="35"/>
      <c r="T212" s="35"/>
      <c r="U212" s="35"/>
      <c r="V212" s="177"/>
      <c r="W212" s="177"/>
      <c r="X212" s="59"/>
      <c r="Y212" s="35"/>
      <c r="Z212" s="59"/>
      <c r="AA212" s="178"/>
      <c r="AB212" s="59"/>
      <c r="AC212" s="59"/>
      <c r="AD212" s="59"/>
      <c r="AE212" s="59"/>
      <c r="AF212" s="178"/>
      <c r="AG212" s="59"/>
      <c r="AH212" s="104"/>
      <c r="AI212" s="35"/>
      <c r="AJ212" s="35"/>
      <c r="AK212" s="36"/>
      <c r="AL212" s="36"/>
      <c r="AM212" s="36"/>
      <c r="AN212" s="36"/>
      <c r="AO212" s="36"/>
      <c r="AP212" s="36"/>
      <c r="AQ212" s="36"/>
      <c r="AR212" s="36"/>
      <c r="AS212" s="36"/>
      <c r="AT212" s="36"/>
      <c r="AU212" s="36"/>
      <c r="AV212" s="36"/>
      <c r="AW212" s="36"/>
      <c r="AX212" s="36"/>
      <c r="AY212" s="36"/>
      <c r="AZ212" s="36"/>
      <c r="BA212" s="36"/>
      <c r="BB212" s="36"/>
    </row>
    <row r="213" spans="2:54" s="30" customFormat="1" ht="15" x14ac:dyDescent="0.2">
      <c r="B213" s="151" t="s">
        <v>491</v>
      </c>
      <c r="C213" s="474" t="s">
        <v>739</v>
      </c>
      <c r="D213" s="474"/>
      <c r="E213" s="165"/>
      <c r="G213" s="152"/>
      <c r="H213" s="81" t="s">
        <v>5</v>
      </c>
      <c r="J213" s="32" t="str">
        <f>IFERROR(VLOOKUP(C213,Kalusto!$B$107:$C$110,2,FALSE),"Valitse kuljetustapa")</f>
        <v>Valitse kuljetustapa</v>
      </c>
      <c r="K213" s="92" t="str">
        <f>IFERROR(IF(ISNUMBER(L213),L213,VLOOKUP(J213,Kalusto!$C$107:$G$110,5,FALSE)),"--")</f>
        <v>--</v>
      </c>
      <c r="L213" s="39"/>
      <c r="M213" s="40" t="s">
        <v>184</v>
      </c>
      <c r="N213" s="40"/>
      <c r="O213" s="250"/>
      <c r="Q213" s="34"/>
      <c r="R213" s="48" t="str">
        <f>IF(AND(ISNUMBER(G213)*ISNUMBER(C$209)),K213*G213*X211,"")</f>
        <v/>
      </c>
      <c r="S213" s="98" t="s">
        <v>160</v>
      </c>
      <c r="T213" s="35"/>
      <c r="U213" s="35"/>
      <c r="V213" s="35"/>
      <c r="W213" s="35"/>
      <c r="X213" s="35"/>
      <c r="Y213" s="35"/>
      <c r="Z213" s="35"/>
      <c r="AA213" s="35"/>
      <c r="AB213" s="104"/>
      <c r="AC213" s="35"/>
      <c r="AD213" s="35"/>
      <c r="AE213" s="35"/>
      <c r="AF213" s="35"/>
      <c r="AG213" s="35"/>
      <c r="AH213" s="35"/>
      <c r="AI213" s="35"/>
      <c r="AJ213" s="35"/>
      <c r="AK213" s="36"/>
      <c r="AL213" s="36"/>
      <c r="AM213" s="36"/>
      <c r="AN213" s="36"/>
      <c r="AO213" s="36"/>
      <c r="AP213" s="36"/>
      <c r="AQ213" s="36"/>
      <c r="AR213" s="36"/>
      <c r="AS213" s="36"/>
      <c r="AT213" s="36"/>
      <c r="AU213" s="36"/>
      <c r="AV213" s="36"/>
      <c r="AW213" s="36"/>
      <c r="AX213" s="36"/>
      <c r="AY213" s="36"/>
      <c r="AZ213" s="36"/>
      <c r="BA213" s="36"/>
      <c r="BB213" s="36"/>
    </row>
    <row r="214" spans="2:54" s="30" customFormat="1" ht="15" x14ac:dyDescent="0.2">
      <c r="B214" s="151" t="s">
        <v>491</v>
      </c>
      <c r="C214" s="474" t="s">
        <v>739</v>
      </c>
      <c r="D214" s="474"/>
      <c r="E214" s="165"/>
      <c r="G214" s="152"/>
      <c r="H214" s="81" t="s">
        <v>5</v>
      </c>
      <c r="J214" s="32" t="str">
        <f>IFERROR(VLOOKUP(C214,Kalusto!$B$107:$C$110,2,FALSE),"Valitse kuljetustapa")</f>
        <v>Valitse kuljetustapa</v>
      </c>
      <c r="K214" s="92" t="str">
        <f>IFERROR(IF(ISNUMBER(L214),L214,VLOOKUP(J214,Kalusto!$C$107:$G$110,5,FALSE)),"--")</f>
        <v>--</v>
      </c>
      <c r="L214" s="39"/>
      <c r="M214" s="40" t="s">
        <v>184</v>
      </c>
      <c r="N214" s="40"/>
      <c r="O214" s="250"/>
      <c r="Q214" s="34"/>
      <c r="R214" s="48" t="str">
        <f>IF(AND(ISNUMBER(G214)*ISNUMBER(C$209)),K214*G214*X212,"")</f>
        <v/>
      </c>
      <c r="S214" s="98" t="s">
        <v>160</v>
      </c>
      <c r="T214" s="35"/>
      <c r="U214" s="35"/>
      <c r="V214" s="35"/>
      <c r="W214" s="35"/>
      <c r="X214" s="35"/>
      <c r="Y214" s="35"/>
      <c r="Z214" s="35"/>
      <c r="AA214" s="35"/>
      <c r="AB214" s="104"/>
      <c r="AC214" s="35"/>
      <c r="AD214" s="35"/>
      <c r="AE214" s="35"/>
      <c r="AF214" s="35"/>
      <c r="AG214" s="35"/>
      <c r="AH214" s="35"/>
      <c r="AI214" s="35"/>
      <c r="AJ214" s="35"/>
      <c r="AK214" s="36"/>
      <c r="AL214" s="36"/>
      <c r="AM214" s="36"/>
      <c r="AN214" s="36"/>
      <c r="AO214" s="36"/>
      <c r="AP214" s="36"/>
      <c r="AQ214" s="36"/>
      <c r="AR214" s="36"/>
      <c r="AS214" s="36"/>
      <c r="AT214" s="36"/>
      <c r="AU214" s="36"/>
      <c r="AV214" s="36"/>
      <c r="AW214" s="36"/>
      <c r="AX214" s="36"/>
      <c r="AY214" s="36"/>
      <c r="AZ214" s="36"/>
      <c r="BA214" s="36"/>
      <c r="BB214" s="36"/>
    </row>
    <row r="215" spans="2:54" s="30" customFormat="1" ht="15" x14ac:dyDescent="0.2">
      <c r="B215" s="151" t="s">
        <v>491</v>
      </c>
      <c r="C215" s="474" t="s">
        <v>739</v>
      </c>
      <c r="D215" s="474"/>
      <c r="E215" s="165"/>
      <c r="G215" s="152"/>
      <c r="H215" s="81" t="s">
        <v>5</v>
      </c>
      <c r="J215" s="32" t="str">
        <f>IFERROR(VLOOKUP(C215,Kalusto!$B$107:$C$110,2,FALSE),"Valitse kuljetustapa")</f>
        <v>Valitse kuljetustapa</v>
      </c>
      <c r="K215" s="92" t="str">
        <f>IFERROR(IF(ISNUMBER(L215),L215,VLOOKUP(J215,Kalusto!$C$107:$G$110,5,FALSE)),"--")</f>
        <v>--</v>
      </c>
      <c r="L215" s="39"/>
      <c r="M215" s="40" t="s">
        <v>184</v>
      </c>
      <c r="N215" s="40"/>
      <c r="O215" s="250"/>
      <c r="Q215" s="34"/>
      <c r="R215" s="48" t="str">
        <f>IF(AND(ISNUMBER(G215)*ISNUMBER(C$209)),K215*G215*X213,"")</f>
        <v/>
      </c>
      <c r="S215" s="98" t="s">
        <v>160</v>
      </c>
      <c r="T215" s="35"/>
      <c r="U215" s="35"/>
      <c r="V215" s="35"/>
      <c r="W215" s="35"/>
      <c r="X215" s="35"/>
      <c r="Y215" s="35"/>
      <c r="Z215" s="35"/>
      <c r="AA215" s="35"/>
      <c r="AB215" s="104"/>
      <c r="AC215" s="35"/>
      <c r="AD215" s="35"/>
      <c r="AE215" s="35"/>
      <c r="AF215" s="35"/>
      <c r="AG215" s="35"/>
      <c r="AH215" s="35"/>
      <c r="AI215" s="35"/>
      <c r="AJ215" s="35"/>
      <c r="AK215" s="36"/>
      <c r="AL215" s="36"/>
      <c r="AM215" s="36"/>
      <c r="AN215" s="36"/>
      <c r="AO215" s="36"/>
      <c r="AP215" s="36"/>
      <c r="AQ215" s="36"/>
      <c r="AR215" s="36"/>
      <c r="AS215" s="36"/>
      <c r="AT215" s="36"/>
      <c r="AU215" s="36"/>
      <c r="AV215" s="36"/>
      <c r="AW215" s="36"/>
      <c r="AX215" s="36"/>
      <c r="AY215" s="36"/>
      <c r="AZ215" s="36"/>
      <c r="BA215" s="36"/>
      <c r="BB215" s="36"/>
    </row>
    <row r="216" spans="2:54" s="30" customFormat="1" ht="15.75" x14ac:dyDescent="0.2">
      <c r="B216" s="8" t="str">
        <f>B188</f>
        <v>Kemikaali-, tuote- tai materiaalilaji 2</v>
      </c>
      <c r="C216" s="33"/>
      <c r="D216" s="81"/>
      <c r="G216" s="70"/>
      <c r="H216" s="81"/>
      <c r="J216" s="32"/>
      <c r="K216" s="33"/>
      <c r="L216" s="33"/>
      <c r="M216" s="81"/>
      <c r="N216" s="81"/>
      <c r="O216" s="251"/>
      <c r="Q216" s="34"/>
      <c r="R216" s="35" t="s">
        <v>318</v>
      </c>
      <c r="S216" s="35"/>
      <c r="T216" s="35"/>
      <c r="U216" s="35"/>
      <c r="V216" s="35"/>
      <c r="W216" s="35"/>
      <c r="X216" s="35"/>
      <c r="Y216" s="35"/>
      <c r="Z216" s="35"/>
      <c r="AA216" s="35"/>
      <c r="AB216" s="104"/>
      <c r="AC216" s="35"/>
      <c r="AD216" s="35"/>
      <c r="AE216" s="35"/>
      <c r="AF216" s="35"/>
      <c r="AG216" s="35"/>
      <c r="AH216" s="35"/>
      <c r="AI216" s="35"/>
      <c r="AJ216" s="35"/>
      <c r="AK216" s="36"/>
      <c r="AL216" s="36"/>
      <c r="AM216" s="36"/>
      <c r="AN216" s="36"/>
      <c r="AO216" s="36"/>
      <c r="AP216" s="36"/>
      <c r="AQ216" s="36"/>
      <c r="AR216" s="36"/>
      <c r="AS216" s="36"/>
      <c r="AT216" s="36"/>
      <c r="AU216" s="36"/>
      <c r="AV216" s="36"/>
      <c r="AW216" s="36"/>
      <c r="AX216" s="36"/>
      <c r="AY216" s="36"/>
      <c r="AZ216" s="36"/>
      <c r="BA216" s="36"/>
      <c r="BB216" s="36"/>
    </row>
    <row r="217" spans="2:54" s="30" customFormat="1" ht="15" x14ac:dyDescent="0.2">
      <c r="B217" s="52" t="s">
        <v>340</v>
      </c>
      <c r="C217" s="156"/>
      <c r="D217" s="81" t="s">
        <v>252</v>
      </c>
      <c r="G217" s="33"/>
      <c r="H217" s="81"/>
      <c r="J217" s="32"/>
      <c r="K217" s="37" t="s">
        <v>297</v>
      </c>
      <c r="L217" s="37" t="s">
        <v>185</v>
      </c>
      <c r="M217" s="81"/>
      <c r="N217" s="81"/>
      <c r="O217" s="251"/>
      <c r="Q217" s="34"/>
      <c r="R217" s="48" t="str">
        <f>IF(AND(ISNUMBER(G218),ISNUMBER(C217)),SUM(R218,R221:R223),"")</f>
        <v/>
      </c>
      <c r="S217" s="98" t="s">
        <v>160</v>
      </c>
      <c r="T217" s="35"/>
      <c r="U217" s="35"/>
      <c r="V217" s="35"/>
      <c r="W217" s="35"/>
      <c r="X217" s="35"/>
      <c r="Y217" s="35"/>
      <c r="Z217" s="35"/>
      <c r="AA217" s="35"/>
      <c r="AB217" s="104"/>
      <c r="AC217" s="35"/>
      <c r="AD217" s="35"/>
      <c r="AE217" s="35"/>
      <c r="AF217" s="35"/>
      <c r="AG217" s="35"/>
      <c r="AH217" s="35"/>
      <c r="AI217" s="35"/>
      <c r="AJ217" s="35"/>
      <c r="AK217" s="36"/>
      <c r="AL217" s="36"/>
      <c r="AM217" s="36"/>
      <c r="AN217" s="36"/>
      <c r="AO217" s="36"/>
      <c r="AP217" s="36"/>
      <c r="AQ217" s="36"/>
      <c r="AR217" s="36"/>
      <c r="AS217" s="36"/>
      <c r="AT217" s="36"/>
      <c r="AU217" s="36"/>
      <c r="AV217" s="36"/>
      <c r="AW217" s="36"/>
      <c r="AX217" s="36"/>
      <c r="AY217" s="36"/>
      <c r="AZ217" s="36"/>
      <c r="BA217" s="36"/>
      <c r="BB217" s="36"/>
    </row>
    <row r="218" spans="2:54" s="30" customFormat="1" ht="30" x14ac:dyDescent="0.2">
      <c r="B218" s="151" t="s">
        <v>659</v>
      </c>
      <c r="C218" s="475" t="s">
        <v>253</v>
      </c>
      <c r="D218" s="476"/>
      <c r="G218" s="152"/>
      <c r="H218" s="81" t="s">
        <v>5</v>
      </c>
      <c r="J218" s="169" t="s">
        <v>395</v>
      </c>
      <c r="K218" s="92" t="str">
        <f>IFERROR(IF(ISNUMBER(L218),L218,(VLOOKUP(C219,Kalusto!$C$45:$G$84,5,FALSE)*(VLOOKUP(C220,Muut!$D$40:$E$43,2,FALSE)))),"--")</f>
        <v>--</v>
      </c>
      <c r="L218" s="39"/>
      <c r="M218" s="40" t="s">
        <v>184</v>
      </c>
      <c r="N218" s="40"/>
      <c r="O218" s="250"/>
      <c r="Q218" s="34"/>
      <c r="R218" s="48" t="str">
        <f>IF(ISNUMBER(Y219*X219*K218),Y219*X219*K218,"")</f>
        <v/>
      </c>
      <c r="S218" s="98" t="s">
        <v>160</v>
      </c>
      <c r="T218" s="35" t="s">
        <v>400</v>
      </c>
      <c r="U218" s="35" t="s">
        <v>349</v>
      </c>
      <c r="V218" s="35" t="s">
        <v>397</v>
      </c>
      <c r="W218" s="35" t="s">
        <v>398</v>
      </c>
      <c r="X218" s="35" t="s">
        <v>401</v>
      </c>
      <c r="Y218" s="35" t="s">
        <v>403</v>
      </c>
      <c r="Z218" s="35" t="s">
        <v>339</v>
      </c>
      <c r="AA218" s="35"/>
      <c r="AB218" s="104"/>
      <c r="AC218" s="35"/>
      <c r="AD218" s="35"/>
      <c r="AE218" s="35"/>
      <c r="AF218" s="35"/>
      <c r="AG218" s="35"/>
      <c r="AH218" s="35"/>
      <c r="AI218" s="35"/>
      <c r="AJ218" s="35"/>
      <c r="AK218" s="36"/>
      <c r="AL218" s="36"/>
      <c r="AM218" s="36"/>
      <c r="AN218" s="36"/>
      <c r="AO218" s="36"/>
      <c r="AP218" s="36"/>
      <c r="AQ218" s="36"/>
      <c r="AR218" s="36"/>
      <c r="AS218" s="36"/>
      <c r="AT218" s="36"/>
      <c r="AU218" s="36"/>
      <c r="AV218" s="36"/>
      <c r="AW218" s="36"/>
      <c r="AX218" s="36"/>
      <c r="AY218" s="36"/>
      <c r="AZ218" s="36"/>
      <c r="BA218" s="36"/>
      <c r="BB218" s="36"/>
    </row>
    <row r="219" spans="2:54" s="30" customFormat="1" ht="15" x14ac:dyDescent="0.2">
      <c r="B219" s="76" t="s">
        <v>342</v>
      </c>
      <c r="C219" s="471" t="s">
        <v>298</v>
      </c>
      <c r="D219" s="472"/>
      <c r="E219" s="472"/>
      <c r="F219" s="472"/>
      <c r="G219" s="473"/>
      <c r="J219" s="32"/>
      <c r="K219" s="37"/>
      <c r="L219" s="37"/>
      <c r="M219" s="40"/>
      <c r="N219" s="40"/>
      <c r="O219" s="250"/>
      <c r="Q219" s="45"/>
      <c r="R219" s="104"/>
      <c r="S219" s="35"/>
      <c r="T219" s="46" t="str">
        <f>IFERROR(IF(ISNUMBER(L218),"Kohdetieto",VLOOKUP(C219,Kalusto!$C$45:$L$84,7,FALSE)),"--")</f>
        <v>--</v>
      </c>
      <c r="U219" s="46" t="str">
        <f>IFERROR(IF(ISNUMBER(L218),"Kohdetieto",VLOOKUP(C219,Kalusto!$C$45:$L$84,8,FALSE)),"--")</f>
        <v>--</v>
      </c>
      <c r="V219" s="47" t="str">
        <f>IFERROR(IF(ISNUMBER(L218),"Kohdetieto",VLOOKUP(C219,Kalusto!$C$45:$L$84,9,FALSE)),"--")</f>
        <v>--</v>
      </c>
      <c r="W219" s="47" t="str">
        <f>IFERROR(IF(ISNUMBER(L218),"Kohdetieto",VLOOKUP(C219,Kalusto!$C$45:$L$84,10,FALSE)),"--")</f>
        <v>--</v>
      </c>
      <c r="X219" s="48" t="str">
        <f>IF(ISBLANK(C217),"",C217/1000)</f>
        <v/>
      </c>
      <c r="Y219" s="46" t="str">
        <f>IF(ISNUMBER(G218),G218,"")</f>
        <v/>
      </c>
      <c r="Z219" s="49" t="str">
        <f>IF(ISNUMBER(L218),L218,K218)</f>
        <v>--</v>
      </c>
      <c r="AA219" s="35"/>
      <c r="AB219" s="104"/>
      <c r="AC219" s="35"/>
      <c r="AD219" s="35"/>
      <c r="AE219" s="35"/>
      <c r="AF219" s="35"/>
      <c r="AG219" s="35"/>
      <c r="AH219" s="35"/>
      <c r="AI219" s="35"/>
      <c r="AJ219" s="35"/>
      <c r="AK219" s="36"/>
      <c r="AL219" s="36"/>
      <c r="AM219" s="36"/>
      <c r="AN219" s="36"/>
      <c r="AO219" s="36"/>
      <c r="AP219" s="36"/>
      <c r="AQ219" s="36"/>
      <c r="AR219" s="36"/>
      <c r="AS219" s="36"/>
      <c r="AT219" s="36"/>
      <c r="AU219" s="36"/>
      <c r="AV219" s="36"/>
      <c r="AW219" s="36"/>
      <c r="AX219" s="36"/>
      <c r="AY219" s="36"/>
      <c r="AZ219" s="36"/>
      <c r="BA219" s="36"/>
      <c r="BB219" s="36"/>
    </row>
    <row r="220" spans="2:54" s="30" customFormat="1" ht="15" x14ac:dyDescent="0.2">
      <c r="B220" s="76" t="s">
        <v>457</v>
      </c>
      <c r="C220" s="156" t="s">
        <v>309</v>
      </c>
      <c r="D220" s="33"/>
      <c r="E220" s="33"/>
      <c r="F220" s="33"/>
      <c r="G220" s="33"/>
      <c r="H220" s="57"/>
      <c r="J220" s="169"/>
      <c r="K220" s="37" t="s">
        <v>297</v>
      </c>
      <c r="L220" s="37" t="s">
        <v>185</v>
      </c>
      <c r="M220" s="40"/>
      <c r="N220" s="40"/>
      <c r="O220" s="250"/>
      <c r="Q220" s="45"/>
      <c r="R220" s="35"/>
      <c r="S220" s="35"/>
      <c r="T220" s="35"/>
      <c r="U220" s="35"/>
      <c r="V220" s="177"/>
      <c r="W220" s="177"/>
      <c r="X220" s="59"/>
      <c r="Y220" s="35"/>
      <c r="Z220" s="59"/>
      <c r="AA220" s="178"/>
      <c r="AB220" s="59"/>
      <c r="AC220" s="59"/>
      <c r="AD220" s="59"/>
      <c r="AE220" s="59"/>
      <c r="AF220" s="178"/>
      <c r="AG220" s="59"/>
      <c r="AH220" s="104"/>
      <c r="AI220" s="35"/>
      <c r="AJ220" s="35"/>
      <c r="AK220" s="36"/>
      <c r="AL220" s="36"/>
      <c r="AM220" s="36"/>
      <c r="AN220" s="36"/>
      <c r="AO220" s="36"/>
      <c r="AP220" s="36"/>
      <c r="AQ220" s="36"/>
      <c r="AR220" s="36"/>
      <c r="AS220" s="36"/>
      <c r="AT220" s="36"/>
      <c r="AU220" s="36"/>
      <c r="AV220" s="36"/>
      <c r="AW220" s="36"/>
      <c r="AX220" s="36"/>
      <c r="AY220" s="36"/>
      <c r="AZ220" s="36"/>
      <c r="BA220" s="36"/>
      <c r="BB220" s="36"/>
    </row>
    <row r="221" spans="2:54" s="30" customFormat="1" ht="15" x14ac:dyDescent="0.2">
      <c r="B221" s="151" t="s">
        <v>491</v>
      </c>
      <c r="C221" s="474" t="s">
        <v>739</v>
      </c>
      <c r="D221" s="474"/>
      <c r="G221" s="152"/>
      <c r="H221" s="81" t="s">
        <v>5</v>
      </c>
      <c r="J221" s="32" t="str">
        <f>IFERROR(VLOOKUP(C221,Kalusto!$B$107:$C$110,2,FALSE),"Valitse kuljetustapa")</f>
        <v>Valitse kuljetustapa</v>
      </c>
      <c r="K221" s="92" t="str">
        <f>IFERROR(IF(ISNUMBER(L221),L221,VLOOKUP(J221,Kalusto!$C$107:$G$110,5,FALSE)),"--")</f>
        <v>--</v>
      </c>
      <c r="L221" s="39"/>
      <c r="M221" s="40" t="s">
        <v>184</v>
      </c>
      <c r="N221" s="40"/>
      <c r="O221" s="250"/>
      <c r="Q221" s="34"/>
      <c r="R221" s="48" t="str">
        <f>IF(AND(ISNUMBER(G221)*ISNUMBER(C$217)),K221*G221*X219,"")</f>
        <v/>
      </c>
      <c r="S221" s="98" t="s">
        <v>160</v>
      </c>
      <c r="T221" s="35"/>
      <c r="U221" s="35"/>
      <c r="V221" s="35"/>
      <c r="W221" s="35"/>
      <c r="X221" s="35"/>
      <c r="Y221" s="35"/>
      <c r="Z221" s="35"/>
      <c r="AA221" s="35"/>
      <c r="AB221" s="104"/>
      <c r="AC221" s="35"/>
      <c r="AD221" s="35"/>
      <c r="AE221" s="35"/>
      <c r="AF221" s="35"/>
      <c r="AG221" s="35"/>
      <c r="AH221" s="35"/>
      <c r="AI221" s="35"/>
      <c r="AJ221" s="35"/>
      <c r="AK221" s="36"/>
      <c r="AL221" s="36"/>
      <c r="AM221" s="36"/>
      <c r="AN221" s="36"/>
      <c r="AO221" s="36"/>
      <c r="AP221" s="36"/>
      <c r="AQ221" s="36"/>
      <c r="AR221" s="36"/>
      <c r="AS221" s="36"/>
      <c r="AT221" s="36"/>
      <c r="AU221" s="36"/>
      <c r="AV221" s="36"/>
      <c r="AW221" s="36"/>
      <c r="AX221" s="36"/>
      <c r="AY221" s="36"/>
      <c r="AZ221" s="36"/>
      <c r="BA221" s="36"/>
      <c r="BB221" s="36"/>
    </row>
    <row r="222" spans="2:54" s="30" customFormat="1" ht="15" x14ac:dyDescent="0.2">
      <c r="B222" s="151" t="s">
        <v>491</v>
      </c>
      <c r="C222" s="474" t="s">
        <v>739</v>
      </c>
      <c r="D222" s="474"/>
      <c r="G222" s="152"/>
      <c r="H222" s="81" t="s">
        <v>5</v>
      </c>
      <c r="J222" s="32" t="str">
        <f>IFERROR(VLOOKUP(C222,Kalusto!$B$107:$C$110,2,FALSE),"Valitse kuljetustapa")</f>
        <v>Valitse kuljetustapa</v>
      </c>
      <c r="K222" s="92" t="str">
        <f>IFERROR(IF(ISNUMBER(L222),L222,VLOOKUP(J222,Kalusto!$C$107:$G$110,5,FALSE)),"--")</f>
        <v>--</v>
      </c>
      <c r="L222" s="39"/>
      <c r="M222" s="40" t="s">
        <v>184</v>
      </c>
      <c r="N222" s="40"/>
      <c r="O222" s="250"/>
      <c r="Q222" s="34"/>
      <c r="R222" s="48" t="str">
        <f>IF(AND(ISNUMBER(G222)*ISNUMBER(C$217)),K222*G222*X220,"")</f>
        <v/>
      </c>
      <c r="S222" s="98" t="s">
        <v>160</v>
      </c>
      <c r="T222" s="35"/>
      <c r="U222" s="35"/>
      <c r="V222" s="35"/>
      <c r="W222" s="35"/>
      <c r="X222" s="35"/>
      <c r="Y222" s="35"/>
      <c r="Z222" s="35"/>
      <c r="AA222" s="35"/>
      <c r="AB222" s="104"/>
      <c r="AC222" s="35"/>
      <c r="AD222" s="35"/>
      <c r="AE222" s="35"/>
      <c r="AF222" s="35"/>
      <c r="AG222" s="35"/>
      <c r="AH222" s="35"/>
      <c r="AI222" s="35"/>
      <c r="AJ222" s="35"/>
      <c r="AK222" s="36"/>
      <c r="AL222" s="36"/>
      <c r="AM222" s="36"/>
      <c r="AN222" s="36"/>
      <c r="AO222" s="36"/>
      <c r="AP222" s="36"/>
      <c r="AQ222" s="36"/>
      <c r="AR222" s="36"/>
      <c r="AS222" s="36"/>
      <c r="AT222" s="36"/>
      <c r="AU222" s="36"/>
      <c r="AV222" s="36"/>
      <c r="AW222" s="36"/>
      <c r="AX222" s="36"/>
      <c r="AY222" s="36"/>
      <c r="AZ222" s="36"/>
      <c r="BA222" s="36"/>
      <c r="BB222" s="36"/>
    </row>
    <row r="223" spans="2:54" s="30" customFormat="1" ht="15" x14ac:dyDescent="0.2">
      <c r="B223" s="151" t="s">
        <v>491</v>
      </c>
      <c r="C223" s="474" t="s">
        <v>739</v>
      </c>
      <c r="D223" s="474"/>
      <c r="G223" s="152"/>
      <c r="H223" s="81" t="s">
        <v>5</v>
      </c>
      <c r="J223" s="32" t="str">
        <f>IFERROR(VLOOKUP(C223,Kalusto!$B$107:$C$110,2,FALSE),"Valitse kuljetustapa")</f>
        <v>Valitse kuljetustapa</v>
      </c>
      <c r="K223" s="92" t="str">
        <f>IFERROR(IF(ISNUMBER(L223),L223,VLOOKUP(J223,Kalusto!$C$107:$G$110,5,FALSE)),"--")</f>
        <v>--</v>
      </c>
      <c r="L223" s="39"/>
      <c r="M223" s="40" t="s">
        <v>184</v>
      </c>
      <c r="N223" s="40"/>
      <c r="O223" s="250"/>
      <c r="Q223" s="34"/>
      <c r="R223" s="48" t="str">
        <f>IF(AND(ISNUMBER(G223)*ISNUMBER(C$217)),K223*G223*X221,"")</f>
        <v/>
      </c>
      <c r="S223" s="98" t="s">
        <v>160</v>
      </c>
      <c r="T223" s="35"/>
      <c r="U223" s="35"/>
      <c r="V223" s="35"/>
      <c r="W223" s="35"/>
      <c r="X223" s="35"/>
      <c r="Y223" s="35"/>
      <c r="Z223" s="35"/>
      <c r="AA223" s="35"/>
      <c r="AB223" s="104"/>
      <c r="AC223" s="35"/>
      <c r="AD223" s="35"/>
      <c r="AE223" s="35"/>
      <c r="AF223" s="35"/>
      <c r="AG223" s="35"/>
      <c r="AH223" s="35"/>
      <c r="AI223" s="35"/>
      <c r="AJ223" s="35"/>
      <c r="AK223" s="36"/>
      <c r="AL223" s="36"/>
      <c r="AM223" s="36"/>
      <c r="AN223" s="36"/>
      <c r="AO223" s="36"/>
      <c r="AP223" s="36"/>
      <c r="AQ223" s="36"/>
      <c r="AR223" s="36"/>
      <c r="AS223" s="36"/>
      <c r="AT223" s="36"/>
      <c r="AU223" s="36"/>
      <c r="AV223" s="36"/>
      <c r="AW223" s="36"/>
      <c r="AX223" s="36"/>
      <c r="AY223" s="36"/>
      <c r="AZ223" s="36"/>
      <c r="BA223" s="36"/>
      <c r="BB223" s="36"/>
    </row>
    <row r="224" spans="2:54" s="30" customFormat="1" ht="15.75" x14ac:dyDescent="0.2">
      <c r="B224" s="8" t="str">
        <f>B191</f>
        <v>Kemikaali-, tuote- tai materiaalilaji 3</v>
      </c>
      <c r="C224" s="33"/>
      <c r="D224" s="81"/>
      <c r="G224" s="70"/>
      <c r="H224" s="81"/>
      <c r="J224" s="32"/>
      <c r="K224" s="33"/>
      <c r="L224" s="33"/>
      <c r="M224" s="81"/>
      <c r="N224" s="81"/>
      <c r="O224" s="251"/>
      <c r="Q224" s="34"/>
      <c r="R224" s="35" t="s">
        <v>318</v>
      </c>
      <c r="S224" s="35"/>
      <c r="T224" s="35"/>
      <c r="U224" s="35"/>
      <c r="V224" s="35"/>
      <c r="W224" s="35"/>
      <c r="X224" s="35"/>
      <c r="Y224" s="35"/>
      <c r="Z224" s="35"/>
      <c r="AA224" s="35"/>
      <c r="AB224" s="104"/>
      <c r="AC224" s="35"/>
      <c r="AD224" s="35"/>
      <c r="AE224" s="35"/>
      <c r="AF224" s="35"/>
      <c r="AG224" s="35"/>
      <c r="AH224" s="35"/>
      <c r="AI224" s="35"/>
      <c r="AJ224" s="35"/>
      <c r="AK224" s="36"/>
      <c r="AL224" s="36"/>
      <c r="AM224" s="36"/>
      <c r="AN224" s="36"/>
      <c r="AO224" s="36"/>
      <c r="AP224" s="36"/>
      <c r="AQ224" s="36"/>
      <c r="AR224" s="36"/>
      <c r="AS224" s="36"/>
      <c r="AT224" s="36"/>
      <c r="AU224" s="36"/>
      <c r="AV224" s="36"/>
      <c r="AW224" s="36"/>
      <c r="AX224" s="36"/>
      <c r="AY224" s="36"/>
      <c r="AZ224" s="36"/>
      <c r="BA224" s="36"/>
      <c r="BB224" s="36"/>
    </row>
    <row r="225" spans="2:54" s="30" customFormat="1" ht="15" x14ac:dyDescent="0.2">
      <c r="B225" s="52" t="s">
        <v>340</v>
      </c>
      <c r="C225" s="156"/>
      <c r="D225" s="81" t="s">
        <v>252</v>
      </c>
      <c r="G225" s="33"/>
      <c r="H225" s="81"/>
      <c r="J225" s="32"/>
      <c r="K225" s="37" t="s">
        <v>297</v>
      </c>
      <c r="L225" s="37" t="s">
        <v>185</v>
      </c>
      <c r="M225" s="81"/>
      <c r="N225" s="81"/>
      <c r="O225" s="251"/>
      <c r="Q225" s="34"/>
      <c r="R225" s="48" t="str">
        <f>IF(AND(ISNUMBER(G226),ISNUMBER(C225)),SUM(R226,R229:R231),"")</f>
        <v/>
      </c>
      <c r="S225" s="98" t="s">
        <v>160</v>
      </c>
      <c r="T225" s="35"/>
      <c r="U225" s="35"/>
      <c r="V225" s="35"/>
      <c r="W225" s="35"/>
      <c r="X225" s="35"/>
      <c r="Y225" s="35"/>
      <c r="Z225" s="35"/>
      <c r="AA225" s="35"/>
      <c r="AB225" s="104"/>
      <c r="AC225" s="35"/>
      <c r="AD225" s="35"/>
      <c r="AE225" s="35"/>
      <c r="AF225" s="35"/>
      <c r="AG225" s="35"/>
      <c r="AH225" s="35"/>
      <c r="AI225" s="35"/>
      <c r="AJ225" s="35"/>
      <c r="AK225" s="36"/>
      <c r="AL225" s="36"/>
      <c r="AM225" s="36"/>
      <c r="AN225" s="36"/>
      <c r="AO225" s="36"/>
      <c r="AP225" s="36"/>
      <c r="AQ225" s="36"/>
      <c r="AR225" s="36"/>
      <c r="AS225" s="36"/>
      <c r="AT225" s="36"/>
      <c r="AU225" s="36"/>
      <c r="AV225" s="36"/>
      <c r="AW225" s="36"/>
      <c r="AX225" s="36"/>
      <c r="AY225" s="36"/>
      <c r="AZ225" s="36"/>
      <c r="BA225" s="36"/>
      <c r="BB225" s="36"/>
    </row>
    <row r="226" spans="2:54" s="30" customFormat="1" ht="30" x14ac:dyDescent="0.2">
      <c r="B226" s="151" t="s">
        <v>660</v>
      </c>
      <c r="C226" s="475" t="s">
        <v>253</v>
      </c>
      <c r="D226" s="476"/>
      <c r="G226" s="152"/>
      <c r="H226" s="81" t="s">
        <v>5</v>
      </c>
      <c r="J226" s="169" t="s">
        <v>395</v>
      </c>
      <c r="K226" s="92" t="str">
        <f>IFERROR(IF(ISNUMBER(L226),L226,(VLOOKUP(C227,Kalusto!$C$45:$G$84,5,FALSE)*(VLOOKUP(C228,Muut!$D$40:$E$43,2,FALSE)))),"--")</f>
        <v>--</v>
      </c>
      <c r="L226" s="39"/>
      <c r="M226" s="40" t="s">
        <v>184</v>
      </c>
      <c r="N226" s="40"/>
      <c r="O226" s="250"/>
      <c r="Q226" s="34"/>
      <c r="R226" s="48" t="str">
        <f>IF(ISNUMBER(Y227*X227*K226),Y227*X227*K226,"")</f>
        <v/>
      </c>
      <c r="S226" s="98" t="s">
        <v>160</v>
      </c>
      <c r="T226" s="35" t="s">
        <v>400</v>
      </c>
      <c r="U226" s="35" t="s">
        <v>349</v>
      </c>
      <c r="V226" s="35" t="s">
        <v>397</v>
      </c>
      <c r="W226" s="35" t="s">
        <v>398</v>
      </c>
      <c r="X226" s="35" t="s">
        <v>401</v>
      </c>
      <c r="Y226" s="35" t="s">
        <v>403</v>
      </c>
      <c r="Z226" s="35" t="s">
        <v>339</v>
      </c>
      <c r="AA226" s="35"/>
      <c r="AB226" s="104"/>
      <c r="AC226" s="35"/>
      <c r="AD226" s="35"/>
      <c r="AE226" s="35"/>
      <c r="AF226" s="35"/>
      <c r="AG226" s="35"/>
      <c r="AH226" s="35"/>
      <c r="AI226" s="35"/>
      <c r="AJ226" s="35"/>
      <c r="AK226" s="36"/>
      <c r="AL226" s="36"/>
      <c r="AM226" s="36"/>
      <c r="AN226" s="36"/>
      <c r="AO226" s="36"/>
      <c r="AP226" s="36"/>
      <c r="AQ226" s="36"/>
      <c r="AR226" s="36"/>
      <c r="AS226" s="36"/>
      <c r="AT226" s="36"/>
      <c r="AU226" s="36"/>
      <c r="AV226" s="36"/>
      <c r="AW226" s="36"/>
      <c r="AX226" s="36"/>
      <c r="AY226" s="36"/>
      <c r="AZ226" s="36"/>
      <c r="BA226" s="36"/>
      <c r="BB226" s="36"/>
    </row>
    <row r="227" spans="2:54" s="30" customFormat="1" ht="15" x14ac:dyDescent="0.2">
      <c r="B227" s="76" t="s">
        <v>342</v>
      </c>
      <c r="C227" s="471" t="s">
        <v>298</v>
      </c>
      <c r="D227" s="472"/>
      <c r="E227" s="472"/>
      <c r="F227" s="472"/>
      <c r="G227" s="473"/>
      <c r="H227" s="165"/>
      <c r="J227" s="32"/>
      <c r="K227" s="37"/>
      <c r="L227" s="37"/>
      <c r="M227" s="40"/>
      <c r="N227" s="40"/>
      <c r="O227" s="250"/>
      <c r="Q227" s="45"/>
      <c r="R227" s="104"/>
      <c r="S227" s="35"/>
      <c r="T227" s="46" t="str">
        <f>IFERROR(IF(ISNUMBER(L226),"Kohdetieto",VLOOKUP(C227,Kalusto!$C$45:$L$84,7,FALSE)),"--")</f>
        <v>--</v>
      </c>
      <c r="U227" s="46" t="str">
        <f>IFERROR(IF(ISNUMBER(L226),"Kohdetieto",VLOOKUP(C227,Kalusto!$C$45:$L$84,8,FALSE)),"--")</f>
        <v>--</v>
      </c>
      <c r="V227" s="47" t="str">
        <f>IFERROR(IF(ISNUMBER(L226),"Kohdetieto",VLOOKUP(C227,Kalusto!$C$45:$L$84,9,FALSE)),"--")</f>
        <v>--</v>
      </c>
      <c r="W227" s="47" t="str">
        <f>IFERROR(IF(ISNUMBER(L226),"Kohdetieto",VLOOKUP(C227,Kalusto!$C$45:$L$84,10,FALSE)),"--")</f>
        <v>--</v>
      </c>
      <c r="X227" s="48" t="str">
        <f>IF(ISBLANK(C225),"",C225/1000)</f>
        <v/>
      </c>
      <c r="Y227" s="46" t="str">
        <f>IF(ISNUMBER(G226),G226,"")</f>
        <v/>
      </c>
      <c r="Z227" s="49" t="str">
        <f>IF(ISNUMBER(L226),L226,K226)</f>
        <v>--</v>
      </c>
      <c r="AA227" s="35"/>
      <c r="AB227" s="104"/>
      <c r="AC227" s="35"/>
      <c r="AD227" s="35"/>
      <c r="AE227" s="35"/>
      <c r="AF227" s="35"/>
      <c r="AG227" s="35"/>
      <c r="AH227" s="35"/>
      <c r="AI227" s="35"/>
      <c r="AJ227" s="35"/>
      <c r="AK227" s="36"/>
      <c r="AL227" s="36"/>
      <c r="AM227" s="36"/>
      <c r="AN227" s="36"/>
      <c r="AO227" s="36"/>
      <c r="AP227" s="36"/>
      <c r="AQ227" s="36"/>
      <c r="AR227" s="36"/>
      <c r="AS227" s="36"/>
      <c r="AT227" s="36"/>
      <c r="AU227" s="36"/>
      <c r="AV227" s="36"/>
      <c r="AW227" s="36"/>
      <c r="AX227" s="36"/>
      <c r="AY227" s="36"/>
      <c r="AZ227" s="36"/>
      <c r="BA227" s="36"/>
      <c r="BB227" s="36"/>
    </row>
    <row r="228" spans="2:54" s="30" customFormat="1" ht="15" x14ac:dyDescent="0.2">
      <c r="B228" s="76" t="s">
        <v>457</v>
      </c>
      <c r="C228" s="156" t="s">
        <v>309</v>
      </c>
      <c r="D228" s="33"/>
      <c r="E228" s="33"/>
      <c r="F228" s="33"/>
      <c r="G228" s="33"/>
      <c r="H228" s="57"/>
      <c r="J228" s="169"/>
      <c r="K228" s="37" t="s">
        <v>297</v>
      </c>
      <c r="L228" s="37" t="s">
        <v>185</v>
      </c>
      <c r="M228" s="40"/>
      <c r="N228" s="40"/>
      <c r="O228" s="250"/>
      <c r="Q228" s="45"/>
      <c r="R228" s="35"/>
      <c r="S228" s="35"/>
      <c r="T228" s="35"/>
      <c r="U228" s="35"/>
      <c r="V228" s="177"/>
      <c r="W228" s="177"/>
      <c r="X228" s="59"/>
      <c r="Y228" s="35"/>
      <c r="Z228" s="59"/>
      <c r="AA228" s="178"/>
      <c r="AB228" s="59"/>
      <c r="AC228" s="59"/>
      <c r="AD228" s="59"/>
      <c r="AE228" s="59"/>
      <c r="AF228" s="178"/>
      <c r="AG228" s="59"/>
      <c r="AH228" s="104"/>
      <c r="AI228" s="35"/>
      <c r="AJ228" s="35"/>
      <c r="AK228" s="36"/>
      <c r="AL228" s="36"/>
      <c r="AM228" s="36"/>
      <c r="AN228" s="36"/>
      <c r="AO228" s="36"/>
      <c r="AP228" s="36"/>
      <c r="AQ228" s="36"/>
      <c r="AR228" s="36"/>
      <c r="AS228" s="36"/>
      <c r="AT228" s="36"/>
      <c r="AU228" s="36"/>
      <c r="AV228" s="36"/>
      <c r="AW228" s="36"/>
      <c r="AX228" s="36"/>
      <c r="AY228" s="36"/>
      <c r="AZ228" s="36"/>
      <c r="BA228" s="36"/>
      <c r="BB228" s="36"/>
    </row>
    <row r="229" spans="2:54" s="30" customFormat="1" ht="15" x14ac:dyDescent="0.2">
      <c r="B229" s="151" t="s">
        <v>491</v>
      </c>
      <c r="C229" s="474" t="s">
        <v>739</v>
      </c>
      <c r="D229" s="474"/>
      <c r="G229" s="152"/>
      <c r="H229" s="81" t="s">
        <v>5</v>
      </c>
      <c r="J229" s="32" t="str">
        <f>IFERROR(VLOOKUP(C229,Kalusto!$B$107:$C$110,2,FALSE),"Valitse kuljetustapa")</f>
        <v>Valitse kuljetustapa</v>
      </c>
      <c r="K229" s="92" t="str">
        <f>IFERROR(IF(ISNUMBER(L229),L229,VLOOKUP(J229,Kalusto!$C$107:$G$110,5,FALSE)),"--")</f>
        <v>--</v>
      </c>
      <c r="L229" s="39"/>
      <c r="M229" s="40" t="s">
        <v>184</v>
      </c>
      <c r="N229" s="40"/>
      <c r="O229" s="250"/>
      <c r="Q229" s="34"/>
      <c r="R229" s="48" t="str">
        <f>IF(AND(ISNUMBER(G229)*ISNUMBER(C$225)),K229*G229*X227,"")</f>
        <v/>
      </c>
      <c r="S229" s="98" t="s">
        <v>160</v>
      </c>
      <c r="T229" s="35"/>
      <c r="U229" s="35"/>
      <c r="V229" s="35"/>
      <c r="W229" s="35"/>
      <c r="X229" s="35"/>
      <c r="Y229" s="35"/>
      <c r="Z229" s="35"/>
      <c r="AA229" s="35"/>
      <c r="AB229" s="104"/>
      <c r="AC229" s="35"/>
      <c r="AD229" s="35"/>
      <c r="AE229" s="35"/>
      <c r="AF229" s="35"/>
      <c r="AG229" s="35"/>
      <c r="AH229" s="35"/>
      <c r="AI229" s="35"/>
      <c r="AJ229" s="35"/>
      <c r="AK229" s="36"/>
      <c r="AL229" s="36"/>
      <c r="AM229" s="36"/>
      <c r="AN229" s="36"/>
      <c r="AO229" s="36"/>
      <c r="AP229" s="36"/>
      <c r="AQ229" s="36"/>
      <c r="AR229" s="36"/>
      <c r="AS229" s="36"/>
      <c r="AT229" s="36"/>
      <c r="AU229" s="36"/>
      <c r="AV229" s="36"/>
      <c r="AW229" s="36"/>
      <c r="AX229" s="36"/>
      <c r="AY229" s="36"/>
      <c r="AZ229" s="36"/>
      <c r="BA229" s="36"/>
      <c r="BB229" s="36"/>
    </row>
    <row r="230" spans="2:54" s="30" customFormat="1" ht="15" x14ac:dyDescent="0.2">
      <c r="B230" s="151" t="s">
        <v>491</v>
      </c>
      <c r="C230" s="474" t="s">
        <v>739</v>
      </c>
      <c r="D230" s="474"/>
      <c r="G230" s="152"/>
      <c r="H230" s="81" t="s">
        <v>5</v>
      </c>
      <c r="J230" s="32" t="str">
        <f>IFERROR(VLOOKUP(C230,Kalusto!$B$107:$C$110,2,FALSE),"Valitse kuljetustapa")</f>
        <v>Valitse kuljetustapa</v>
      </c>
      <c r="K230" s="92" t="str">
        <f>IFERROR(IF(ISNUMBER(L230),L230,VLOOKUP(J230,Kalusto!$C$107:$G$110,5,FALSE)),"--")</f>
        <v>--</v>
      </c>
      <c r="L230" s="39"/>
      <c r="M230" s="40" t="s">
        <v>184</v>
      </c>
      <c r="N230" s="40"/>
      <c r="O230" s="250"/>
      <c r="Q230" s="34"/>
      <c r="R230" s="48" t="str">
        <f>IF(AND(ISNUMBER(G230)*ISNUMBER(C$225)),K230*G230*X228,"")</f>
        <v/>
      </c>
      <c r="S230" s="98" t="s">
        <v>160</v>
      </c>
      <c r="T230" s="35"/>
      <c r="U230" s="35"/>
      <c r="V230" s="35"/>
      <c r="W230" s="35"/>
      <c r="X230" s="35"/>
      <c r="Y230" s="35"/>
      <c r="Z230" s="35"/>
      <c r="AA230" s="35"/>
      <c r="AB230" s="104"/>
      <c r="AC230" s="35"/>
      <c r="AD230" s="35"/>
      <c r="AE230" s="35"/>
      <c r="AF230" s="35"/>
      <c r="AG230" s="35"/>
      <c r="AH230" s="35"/>
      <c r="AI230" s="35"/>
      <c r="AJ230" s="35"/>
      <c r="AK230" s="36"/>
      <c r="AL230" s="36"/>
      <c r="AM230" s="36"/>
      <c r="AN230" s="36"/>
      <c r="AO230" s="36"/>
      <c r="AP230" s="36"/>
      <c r="AQ230" s="36"/>
      <c r="AR230" s="36"/>
      <c r="AS230" s="36"/>
      <c r="AT230" s="36"/>
      <c r="AU230" s="36"/>
      <c r="AV230" s="36"/>
      <c r="AW230" s="36"/>
      <c r="AX230" s="36"/>
      <c r="AY230" s="36"/>
      <c r="AZ230" s="36"/>
      <c r="BA230" s="36"/>
      <c r="BB230" s="36"/>
    </row>
    <row r="231" spans="2:54" s="30" customFormat="1" ht="15" x14ac:dyDescent="0.2">
      <c r="B231" s="151" t="s">
        <v>491</v>
      </c>
      <c r="C231" s="474" t="s">
        <v>739</v>
      </c>
      <c r="D231" s="474"/>
      <c r="G231" s="152"/>
      <c r="H231" s="81" t="s">
        <v>5</v>
      </c>
      <c r="J231" s="32" t="str">
        <f>IFERROR(VLOOKUP(C231,Kalusto!$B$107:$C$110,2,FALSE),"Valitse kuljetustapa")</f>
        <v>Valitse kuljetustapa</v>
      </c>
      <c r="K231" s="92" t="str">
        <f>IFERROR(IF(ISNUMBER(L231),L231,VLOOKUP(J231,Kalusto!$C$107:$G$110,5,FALSE)),"--")</f>
        <v>--</v>
      </c>
      <c r="L231" s="39"/>
      <c r="M231" s="40" t="s">
        <v>184</v>
      </c>
      <c r="N231" s="40"/>
      <c r="O231" s="250"/>
      <c r="Q231" s="34"/>
      <c r="R231" s="48" t="str">
        <f>IF(AND(ISNUMBER(G231)*ISNUMBER(C$225)),K231*G231*X229,"")</f>
        <v/>
      </c>
      <c r="S231" s="98" t="s">
        <v>160</v>
      </c>
      <c r="T231" s="35"/>
      <c r="U231" s="35"/>
      <c r="V231" s="35"/>
      <c r="W231" s="35"/>
      <c r="X231" s="35"/>
      <c r="Y231" s="35"/>
      <c r="Z231" s="35"/>
      <c r="AA231" s="35"/>
      <c r="AB231" s="104"/>
      <c r="AC231" s="35"/>
      <c r="AD231" s="35"/>
      <c r="AE231" s="35"/>
      <c r="AF231" s="35"/>
      <c r="AG231" s="35"/>
      <c r="AH231" s="35"/>
      <c r="AI231" s="35"/>
      <c r="AJ231" s="35"/>
      <c r="AK231" s="36"/>
      <c r="AL231" s="36"/>
      <c r="AM231" s="36"/>
      <c r="AN231" s="36"/>
      <c r="AO231" s="36"/>
      <c r="AP231" s="36"/>
      <c r="AQ231" s="36"/>
      <c r="AR231" s="36"/>
      <c r="AS231" s="36"/>
      <c r="AT231" s="36"/>
      <c r="AU231" s="36"/>
      <c r="AV231" s="36"/>
      <c r="AW231" s="36"/>
      <c r="AX231" s="36"/>
      <c r="AY231" s="36"/>
      <c r="AZ231" s="36"/>
      <c r="BA231" s="36"/>
      <c r="BB231" s="36"/>
    </row>
    <row r="232" spans="2:54" s="30" customFormat="1" ht="15.75" x14ac:dyDescent="0.2">
      <c r="B232" s="8" t="str">
        <f>B194</f>
        <v>Kemikaali-, tuote- tai materiaalilaji 4</v>
      </c>
      <c r="C232" s="33"/>
      <c r="D232" s="81"/>
      <c r="G232" s="70"/>
      <c r="H232" s="81"/>
      <c r="J232" s="32"/>
      <c r="K232" s="33"/>
      <c r="L232" s="33"/>
      <c r="M232" s="81"/>
      <c r="N232" s="81"/>
      <c r="O232" s="251"/>
      <c r="Q232" s="34"/>
      <c r="R232" s="35" t="s">
        <v>318</v>
      </c>
      <c r="S232" s="35"/>
      <c r="T232" s="35"/>
      <c r="U232" s="35"/>
      <c r="V232" s="35"/>
      <c r="W232" s="35"/>
      <c r="X232" s="35"/>
      <c r="Y232" s="35"/>
      <c r="Z232" s="35"/>
      <c r="AA232" s="35"/>
      <c r="AB232" s="104"/>
      <c r="AC232" s="35"/>
      <c r="AD232" s="35"/>
      <c r="AE232" s="35"/>
      <c r="AF232" s="35"/>
      <c r="AG232" s="35"/>
      <c r="AH232" s="35"/>
      <c r="AI232" s="35"/>
      <c r="AJ232" s="35"/>
      <c r="AK232" s="36"/>
      <c r="AL232" s="36"/>
      <c r="AM232" s="36"/>
      <c r="AN232" s="36"/>
      <c r="AO232" s="36"/>
      <c r="AP232" s="36"/>
      <c r="AQ232" s="36"/>
      <c r="AR232" s="36"/>
      <c r="AS232" s="36"/>
      <c r="AT232" s="36"/>
      <c r="AU232" s="36"/>
      <c r="AV232" s="36"/>
      <c r="AW232" s="36"/>
      <c r="AX232" s="36"/>
      <c r="AY232" s="36"/>
      <c r="AZ232" s="36"/>
      <c r="BA232" s="36"/>
      <c r="BB232" s="36"/>
    </row>
    <row r="233" spans="2:54" s="30" customFormat="1" ht="15" x14ac:dyDescent="0.2">
      <c r="B233" s="52" t="s">
        <v>340</v>
      </c>
      <c r="C233" s="156"/>
      <c r="D233" s="81" t="s">
        <v>252</v>
      </c>
      <c r="G233" s="33"/>
      <c r="H233" s="81"/>
      <c r="J233" s="32"/>
      <c r="K233" s="37" t="s">
        <v>297</v>
      </c>
      <c r="L233" s="37" t="s">
        <v>185</v>
      </c>
      <c r="M233" s="81"/>
      <c r="N233" s="81"/>
      <c r="O233" s="251"/>
      <c r="Q233" s="34"/>
      <c r="R233" s="48" t="str">
        <f>IF(AND(ISNUMBER(G234),ISNUMBER(C233)),SUM(R234,R237:R239),"")</f>
        <v/>
      </c>
      <c r="S233" s="98" t="s">
        <v>160</v>
      </c>
      <c r="T233" s="35"/>
      <c r="U233" s="35"/>
      <c r="V233" s="35"/>
      <c r="W233" s="35"/>
      <c r="X233" s="35"/>
      <c r="Y233" s="35"/>
      <c r="Z233" s="35"/>
      <c r="AA233" s="35"/>
      <c r="AB233" s="104"/>
      <c r="AC233" s="35"/>
      <c r="AD233" s="35"/>
      <c r="AE233" s="35"/>
      <c r="AF233" s="35"/>
      <c r="AG233" s="35"/>
      <c r="AH233" s="35"/>
      <c r="AI233" s="35"/>
      <c r="AJ233" s="35"/>
      <c r="AK233" s="36"/>
      <c r="AL233" s="36"/>
      <c r="AM233" s="36"/>
      <c r="AN233" s="36"/>
      <c r="AO233" s="36"/>
      <c r="AP233" s="36"/>
      <c r="AQ233" s="36"/>
      <c r="AR233" s="36"/>
      <c r="AS233" s="36"/>
      <c r="AT233" s="36"/>
      <c r="AU233" s="36"/>
      <c r="AV233" s="36"/>
      <c r="AW233" s="36"/>
      <c r="AX233" s="36"/>
      <c r="AY233" s="36"/>
      <c r="AZ233" s="36"/>
      <c r="BA233" s="36"/>
      <c r="BB233" s="36"/>
    </row>
    <row r="234" spans="2:54" s="30" customFormat="1" ht="30" x14ac:dyDescent="0.2">
      <c r="B234" s="151" t="s">
        <v>660</v>
      </c>
      <c r="C234" s="475" t="s">
        <v>253</v>
      </c>
      <c r="D234" s="476"/>
      <c r="G234" s="152"/>
      <c r="H234" s="81" t="s">
        <v>5</v>
      </c>
      <c r="J234" s="169" t="s">
        <v>395</v>
      </c>
      <c r="K234" s="92" t="str">
        <f>IFERROR(IF(ISNUMBER(L234),L234,(VLOOKUP(C235,Kalusto!$C$45:$G$84,5,FALSE)*(VLOOKUP(C236,Muut!$D$40:$E$43,2,FALSE)))),"--")</f>
        <v>--</v>
      </c>
      <c r="L234" s="39"/>
      <c r="M234" s="40" t="s">
        <v>184</v>
      </c>
      <c r="N234" s="40"/>
      <c r="O234" s="250"/>
      <c r="Q234" s="34"/>
      <c r="R234" s="48" t="str">
        <f>IF(ISNUMBER(Y235*X235*K234),Y235*X235*K234,"")</f>
        <v/>
      </c>
      <c r="S234" s="98" t="s">
        <v>160</v>
      </c>
      <c r="T234" s="35" t="s">
        <v>400</v>
      </c>
      <c r="U234" s="35" t="s">
        <v>349</v>
      </c>
      <c r="V234" s="35" t="s">
        <v>397</v>
      </c>
      <c r="W234" s="35" t="s">
        <v>398</v>
      </c>
      <c r="X234" s="35" t="s">
        <v>401</v>
      </c>
      <c r="Y234" s="35" t="s">
        <v>403</v>
      </c>
      <c r="Z234" s="35" t="s">
        <v>339</v>
      </c>
      <c r="AA234" s="35"/>
      <c r="AB234" s="104"/>
      <c r="AC234" s="35"/>
      <c r="AD234" s="35"/>
      <c r="AE234" s="35"/>
      <c r="AF234" s="35"/>
      <c r="AG234" s="35"/>
      <c r="AH234" s="35"/>
      <c r="AI234" s="35"/>
      <c r="AJ234" s="35"/>
      <c r="AK234" s="36"/>
      <c r="AL234" s="36"/>
      <c r="AM234" s="36"/>
      <c r="AN234" s="36"/>
      <c r="AO234" s="36"/>
      <c r="AP234" s="36"/>
      <c r="AQ234" s="36"/>
      <c r="AR234" s="36"/>
      <c r="AS234" s="36"/>
      <c r="AT234" s="36"/>
      <c r="AU234" s="36"/>
      <c r="AV234" s="36"/>
      <c r="AW234" s="36"/>
      <c r="AX234" s="36"/>
      <c r="AY234" s="36"/>
      <c r="AZ234" s="36"/>
      <c r="BA234" s="36"/>
      <c r="BB234" s="36"/>
    </row>
    <row r="235" spans="2:54" s="30" customFormat="1" ht="15" x14ac:dyDescent="0.2">
      <c r="B235" s="76" t="s">
        <v>342</v>
      </c>
      <c r="C235" s="471" t="s">
        <v>298</v>
      </c>
      <c r="D235" s="472"/>
      <c r="E235" s="472"/>
      <c r="F235" s="472"/>
      <c r="G235" s="473"/>
      <c r="J235" s="32"/>
      <c r="K235" s="37"/>
      <c r="L235" s="37"/>
      <c r="M235" s="40"/>
      <c r="N235" s="40"/>
      <c r="O235" s="250"/>
      <c r="Q235" s="45"/>
      <c r="R235" s="104"/>
      <c r="S235" s="35"/>
      <c r="T235" s="46" t="str">
        <f>IFERROR(IF(ISNUMBER(L234),"Kohdetieto",VLOOKUP(C235,Kalusto!$C$45:$L$84,7,FALSE)),"--")</f>
        <v>--</v>
      </c>
      <c r="U235" s="46" t="str">
        <f>IFERROR(IF(ISNUMBER(L234),"Kohdetieto",VLOOKUP(C235,Kalusto!$C$45:$L$84,8,FALSE)),"--")</f>
        <v>--</v>
      </c>
      <c r="V235" s="47" t="str">
        <f>IFERROR(IF(ISNUMBER(L234),"Kohdetieto",VLOOKUP(C235,Kalusto!$C$45:$L$84,9,FALSE)),"--")</f>
        <v>--</v>
      </c>
      <c r="W235" s="47" t="str">
        <f>IFERROR(IF(ISNUMBER(L234),"Kohdetieto",VLOOKUP(C235,Kalusto!$C$45:$L$84,10,FALSE)),"--")</f>
        <v>--</v>
      </c>
      <c r="X235" s="48" t="str">
        <f>IF(ISBLANK(C233),"",C233/1000)</f>
        <v/>
      </c>
      <c r="Y235" s="46" t="str">
        <f>IF(ISNUMBER(G234),G234,"")</f>
        <v/>
      </c>
      <c r="Z235" s="49" t="str">
        <f>IF(ISNUMBER(L234),L234,K234)</f>
        <v>--</v>
      </c>
      <c r="AA235" s="35"/>
      <c r="AB235" s="104"/>
      <c r="AC235" s="35"/>
      <c r="AD235" s="35"/>
      <c r="AE235" s="35"/>
      <c r="AF235" s="35"/>
      <c r="AG235" s="35"/>
      <c r="AH235" s="35"/>
      <c r="AI235" s="35"/>
      <c r="AJ235" s="35"/>
      <c r="AK235" s="36"/>
      <c r="AL235" s="36"/>
      <c r="AM235" s="36"/>
      <c r="AN235" s="36"/>
      <c r="AO235" s="36"/>
      <c r="AP235" s="36"/>
      <c r="AQ235" s="36"/>
      <c r="AR235" s="36"/>
      <c r="AS235" s="36"/>
      <c r="AT235" s="36"/>
      <c r="AU235" s="36"/>
      <c r="AV235" s="36"/>
      <c r="AW235" s="36"/>
      <c r="AX235" s="36"/>
      <c r="AY235" s="36"/>
      <c r="AZ235" s="36"/>
      <c r="BA235" s="36"/>
      <c r="BB235" s="36"/>
    </row>
    <row r="236" spans="2:54" s="30" customFormat="1" ht="15" x14ac:dyDescent="0.2">
      <c r="B236" s="76" t="s">
        <v>457</v>
      </c>
      <c r="C236" s="156" t="s">
        <v>309</v>
      </c>
      <c r="D236" s="33"/>
      <c r="E236" s="33"/>
      <c r="F236" s="33"/>
      <c r="G236" s="33"/>
      <c r="H236" s="57"/>
      <c r="J236" s="169"/>
      <c r="K236" s="37" t="s">
        <v>297</v>
      </c>
      <c r="L236" s="37" t="s">
        <v>185</v>
      </c>
      <c r="M236" s="40"/>
      <c r="N236" s="40"/>
      <c r="O236" s="250"/>
      <c r="Q236" s="45"/>
      <c r="R236" s="35"/>
      <c r="S236" s="35"/>
      <c r="T236" s="35"/>
      <c r="U236" s="35"/>
      <c r="V236" s="177"/>
      <c r="W236" s="177"/>
      <c r="X236" s="59"/>
      <c r="Y236" s="35"/>
      <c r="Z236" s="59"/>
      <c r="AA236" s="178"/>
      <c r="AB236" s="59"/>
      <c r="AC236" s="59"/>
      <c r="AD236" s="59"/>
      <c r="AE236" s="59"/>
      <c r="AF236" s="178"/>
      <c r="AG236" s="59"/>
      <c r="AH236" s="104"/>
      <c r="AI236" s="35"/>
      <c r="AJ236" s="35"/>
      <c r="AK236" s="36"/>
      <c r="AL236" s="36"/>
      <c r="AM236" s="36"/>
      <c r="AN236" s="36"/>
      <c r="AO236" s="36"/>
      <c r="AP236" s="36"/>
      <c r="AQ236" s="36"/>
      <c r="AR236" s="36"/>
      <c r="AS236" s="36"/>
      <c r="AT236" s="36"/>
      <c r="AU236" s="36"/>
      <c r="AV236" s="36"/>
      <c r="AW236" s="36"/>
      <c r="AX236" s="36"/>
      <c r="AY236" s="36"/>
      <c r="AZ236" s="36"/>
      <c r="BA236" s="36"/>
      <c r="BB236" s="36"/>
    </row>
    <row r="237" spans="2:54" s="30" customFormat="1" ht="15" x14ac:dyDescent="0.2">
      <c r="B237" s="151" t="s">
        <v>492</v>
      </c>
      <c r="C237" s="474" t="s">
        <v>739</v>
      </c>
      <c r="D237" s="474"/>
      <c r="G237" s="152"/>
      <c r="H237" s="81" t="s">
        <v>5</v>
      </c>
      <c r="J237" s="32" t="str">
        <f>IFERROR(VLOOKUP(C237,Kalusto!$B$107:$C$110,2,FALSE),"Valitse kuljetustapa")</f>
        <v>Valitse kuljetustapa</v>
      </c>
      <c r="K237" s="92" t="str">
        <f>IFERROR(IF(ISNUMBER(L237),L237,VLOOKUP(J237,Kalusto!$C$107:$G$110,5,FALSE)),"--")</f>
        <v>--</v>
      </c>
      <c r="L237" s="39"/>
      <c r="M237" s="40" t="s">
        <v>184</v>
      </c>
      <c r="N237" s="40"/>
      <c r="O237" s="250"/>
      <c r="Q237" s="34"/>
      <c r="R237" s="48" t="str">
        <f>IF(AND(ISNUMBER(G237)*ISNUMBER(C$233)),K237*G237*X235,"")</f>
        <v/>
      </c>
      <c r="S237" s="98" t="s">
        <v>160</v>
      </c>
      <c r="T237" s="35"/>
      <c r="U237" s="35"/>
      <c r="V237" s="35"/>
      <c r="W237" s="35"/>
      <c r="X237" s="35"/>
      <c r="Y237" s="35"/>
      <c r="Z237" s="35"/>
      <c r="AA237" s="35"/>
      <c r="AB237" s="104"/>
      <c r="AC237" s="35"/>
      <c r="AD237" s="35"/>
      <c r="AE237" s="35"/>
      <c r="AF237" s="35"/>
      <c r="AG237" s="35"/>
      <c r="AH237" s="35"/>
      <c r="AI237" s="35"/>
      <c r="AJ237" s="35"/>
      <c r="AK237" s="36"/>
      <c r="AL237" s="36"/>
      <c r="AM237" s="36"/>
      <c r="AN237" s="36"/>
      <c r="AO237" s="36"/>
      <c r="AP237" s="36"/>
      <c r="AQ237" s="36"/>
      <c r="AR237" s="36"/>
      <c r="AS237" s="36"/>
      <c r="AT237" s="36"/>
      <c r="AU237" s="36"/>
      <c r="AV237" s="36"/>
      <c r="AW237" s="36"/>
      <c r="AX237" s="36"/>
      <c r="AY237" s="36"/>
      <c r="AZ237" s="36"/>
      <c r="BA237" s="36"/>
      <c r="BB237" s="36"/>
    </row>
    <row r="238" spans="2:54" s="30" customFormat="1" ht="15" x14ac:dyDescent="0.2">
      <c r="B238" s="151" t="s">
        <v>492</v>
      </c>
      <c r="C238" s="474" t="s">
        <v>739</v>
      </c>
      <c r="D238" s="474"/>
      <c r="G238" s="152"/>
      <c r="H238" s="81" t="s">
        <v>5</v>
      </c>
      <c r="J238" s="32" t="str">
        <f>IFERROR(VLOOKUP(C238,Kalusto!$B$107:$C$110,2,FALSE),"Valitse kuljetustapa")</f>
        <v>Valitse kuljetustapa</v>
      </c>
      <c r="K238" s="92" t="str">
        <f>IFERROR(IF(ISNUMBER(L238),L238,VLOOKUP(J238,Kalusto!$C$107:$G$110,5,FALSE)),"--")</f>
        <v>--</v>
      </c>
      <c r="L238" s="39"/>
      <c r="M238" s="40" t="s">
        <v>184</v>
      </c>
      <c r="N238" s="40"/>
      <c r="O238" s="250"/>
      <c r="Q238" s="34"/>
      <c r="R238" s="48" t="str">
        <f>IF(AND(ISNUMBER(G238)*ISNUMBER(C$233)),K238*G238*X236,"")</f>
        <v/>
      </c>
      <c r="S238" s="98" t="s">
        <v>160</v>
      </c>
      <c r="T238" s="35"/>
      <c r="U238" s="35"/>
      <c r="V238" s="35"/>
      <c r="W238" s="35"/>
      <c r="X238" s="35"/>
      <c r="Y238" s="35"/>
      <c r="Z238" s="35"/>
      <c r="AA238" s="35"/>
      <c r="AB238" s="104"/>
      <c r="AC238" s="35"/>
      <c r="AD238" s="35"/>
      <c r="AE238" s="35"/>
      <c r="AF238" s="35"/>
      <c r="AG238" s="35"/>
      <c r="AH238" s="35"/>
      <c r="AI238" s="35"/>
      <c r="AJ238" s="35"/>
      <c r="AK238" s="36"/>
      <c r="AL238" s="36"/>
      <c r="AM238" s="36"/>
      <c r="AN238" s="36"/>
      <c r="AO238" s="36"/>
      <c r="AP238" s="36"/>
      <c r="AQ238" s="36"/>
      <c r="AR238" s="36"/>
      <c r="AS238" s="36"/>
      <c r="AT238" s="36"/>
      <c r="AU238" s="36"/>
      <c r="AV238" s="36"/>
      <c r="AW238" s="36"/>
      <c r="AX238" s="36"/>
      <c r="AY238" s="36"/>
      <c r="AZ238" s="36"/>
      <c r="BA238" s="36"/>
      <c r="BB238" s="36"/>
    </row>
    <row r="239" spans="2:54" s="30" customFormat="1" ht="15" x14ac:dyDescent="0.2">
      <c r="B239" s="151" t="s">
        <v>492</v>
      </c>
      <c r="C239" s="474" t="s">
        <v>739</v>
      </c>
      <c r="D239" s="474"/>
      <c r="G239" s="152"/>
      <c r="H239" s="81" t="s">
        <v>5</v>
      </c>
      <c r="J239" s="32" t="str">
        <f>IFERROR(VLOOKUP(C239,Kalusto!$B$107:$C$110,2,FALSE),"Valitse kuljetustapa")</f>
        <v>Valitse kuljetustapa</v>
      </c>
      <c r="K239" s="92" t="str">
        <f>IFERROR(IF(ISNUMBER(L239),L239,VLOOKUP(J239,Kalusto!$C$107:$G$110,5,FALSE)),"--")</f>
        <v>--</v>
      </c>
      <c r="L239" s="39"/>
      <c r="M239" s="40" t="s">
        <v>184</v>
      </c>
      <c r="N239" s="40"/>
      <c r="O239" s="250"/>
      <c r="Q239" s="34"/>
      <c r="R239" s="48" t="str">
        <f>IF(AND(ISNUMBER(G239)*ISNUMBER(C$233)),K239*G239*X237,"")</f>
        <v/>
      </c>
      <c r="S239" s="98" t="s">
        <v>160</v>
      </c>
      <c r="T239" s="35"/>
      <c r="U239" s="35"/>
      <c r="V239" s="35"/>
      <c r="W239" s="35"/>
      <c r="X239" s="35"/>
      <c r="Y239" s="35"/>
      <c r="Z239" s="35"/>
      <c r="AA239" s="35"/>
      <c r="AB239" s="104"/>
      <c r="AC239" s="35"/>
      <c r="AD239" s="35"/>
      <c r="AE239" s="35"/>
      <c r="AF239" s="35"/>
      <c r="AG239" s="35"/>
      <c r="AH239" s="35"/>
      <c r="AI239" s="35"/>
      <c r="AJ239" s="35"/>
      <c r="AK239" s="36"/>
      <c r="AL239" s="36"/>
      <c r="AM239" s="36"/>
      <c r="AN239" s="36"/>
      <c r="AO239" s="36"/>
      <c r="AP239" s="36"/>
      <c r="AQ239" s="36"/>
      <c r="AR239" s="36"/>
      <c r="AS239" s="36"/>
      <c r="AT239" s="36"/>
      <c r="AU239" s="36"/>
      <c r="AV239" s="36"/>
      <c r="AW239" s="36"/>
      <c r="AX239" s="36"/>
      <c r="AY239" s="36"/>
      <c r="AZ239" s="36"/>
      <c r="BA239" s="36"/>
      <c r="BB239" s="36"/>
    </row>
    <row r="240" spans="2:54" s="30" customFormat="1" ht="15.75" x14ac:dyDescent="0.2">
      <c r="B240" s="8" t="str">
        <f>B197</f>
        <v>Kemikaali-, tuote- tai materiaalilaji 5</v>
      </c>
      <c r="C240" s="33"/>
      <c r="D240" s="81"/>
      <c r="G240" s="70"/>
      <c r="H240" s="81"/>
      <c r="J240" s="32"/>
      <c r="K240" s="33"/>
      <c r="L240" s="33"/>
      <c r="M240" s="81"/>
      <c r="N240" s="81"/>
      <c r="O240" s="251"/>
      <c r="Q240" s="34"/>
      <c r="R240" s="35" t="s">
        <v>318</v>
      </c>
      <c r="S240" s="35"/>
      <c r="T240" s="35"/>
      <c r="U240" s="35"/>
      <c r="V240" s="35"/>
      <c r="W240" s="35"/>
      <c r="X240" s="35"/>
      <c r="Y240" s="35"/>
      <c r="Z240" s="35"/>
      <c r="AA240" s="35"/>
      <c r="AB240" s="104"/>
      <c r="AC240" s="35"/>
      <c r="AD240" s="35"/>
      <c r="AE240" s="35"/>
      <c r="AF240" s="35"/>
      <c r="AG240" s="35"/>
      <c r="AH240" s="35"/>
      <c r="AI240" s="35"/>
      <c r="AJ240" s="35"/>
      <c r="AK240" s="36"/>
      <c r="AL240" s="36"/>
      <c r="AM240" s="36"/>
      <c r="AN240" s="36"/>
      <c r="AO240" s="36"/>
      <c r="AP240" s="36"/>
      <c r="AQ240" s="36"/>
      <c r="AR240" s="36"/>
      <c r="AS240" s="36"/>
      <c r="AT240" s="36"/>
      <c r="AU240" s="36"/>
      <c r="AV240" s="36"/>
      <c r="AW240" s="36"/>
      <c r="AX240" s="36"/>
      <c r="AY240" s="36"/>
      <c r="AZ240" s="36"/>
      <c r="BA240" s="36"/>
      <c r="BB240" s="36"/>
    </row>
    <row r="241" spans="1:54" s="30" customFormat="1" ht="15" x14ac:dyDescent="0.2">
      <c r="B241" s="52" t="s">
        <v>256</v>
      </c>
      <c r="C241" s="156"/>
      <c r="D241" s="81" t="s">
        <v>252</v>
      </c>
      <c r="G241" s="33"/>
      <c r="H241" s="81"/>
      <c r="J241" s="32"/>
      <c r="K241" s="37" t="s">
        <v>297</v>
      </c>
      <c r="L241" s="37" t="s">
        <v>185</v>
      </c>
      <c r="M241" s="81"/>
      <c r="N241" s="81"/>
      <c r="O241" s="251"/>
      <c r="Q241" s="34"/>
      <c r="R241" s="48" t="str">
        <f>IF(AND(ISNUMBER(G242),ISNUMBER(C241)),SUM(R242,R245:R247),"")</f>
        <v/>
      </c>
      <c r="S241" s="98" t="s">
        <v>160</v>
      </c>
      <c r="T241" s="35"/>
      <c r="U241" s="35"/>
      <c r="V241" s="35"/>
      <c r="W241" s="35"/>
      <c r="X241" s="35"/>
      <c r="Y241" s="35"/>
      <c r="Z241" s="35"/>
      <c r="AA241" s="35"/>
      <c r="AB241" s="104"/>
      <c r="AC241" s="35"/>
      <c r="AD241" s="35"/>
      <c r="AE241" s="35"/>
      <c r="AF241" s="35"/>
      <c r="AG241" s="35"/>
      <c r="AH241" s="35"/>
      <c r="AI241" s="35"/>
      <c r="AJ241" s="35"/>
      <c r="AK241" s="36"/>
      <c r="AL241" s="36"/>
      <c r="AM241" s="36"/>
      <c r="AN241" s="36"/>
      <c r="AO241" s="36"/>
      <c r="AP241" s="36"/>
      <c r="AQ241" s="36"/>
      <c r="AR241" s="36"/>
      <c r="AS241" s="36"/>
      <c r="AT241" s="36"/>
      <c r="AU241" s="36"/>
      <c r="AV241" s="36"/>
      <c r="AW241" s="36"/>
      <c r="AX241" s="36"/>
      <c r="AY241" s="36"/>
      <c r="AZ241" s="36"/>
      <c r="BA241" s="36"/>
      <c r="BB241" s="36"/>
    </row>
    <row r="242" spans="1:54" s="30" customFormat="1" ht="30" x14ac:dyDescent="0.2">
      <c r="B242" s="151" t="s">
        <v>660</v>
      </c>
      <c r="C242" s="475" t="s">
        <v>253</v>
      </c>
      <c r="D242" s="476"/>
      <c r="G242" s="152"/>
      <c r="H242" s="81" t="s">
        <v>5</v>
      </c>
      <c r="J242" s="169" t="s">
        <v>395</v>
      </c>
      <c r="K242" s="92" t="str">
        <f>IFERROR(IF(ISNUMBER(L242),L242,(VLOOKUP(C243,Kalusto!$C$45:$G$84,5,FALSE)*(VLOOKUP(C244,Muut!$D$40:$E$43,2,FALSE)))),"--")</f>
        <v>--</v>
      </c>
      <c r="L242" s="39"/>
      <c r="M242" s="40" t="s">
        <v>184</v>
      </c>
      <c r="N242" s="40"/>
      <c r="O242" s="250"/>
      <c r="Q242" s="34"/>
      <c r="R242" s="48" t="str">
        <f>IF(ISNUMBER(Y243*X243*K242),Y243*X243*K242,"")</f>
        <v/>
      </c>
      <c r="S242" s="98" t="s">
        <v>160</v>
      </c>
      <c r="T242" s="35" t="s">
        <v>400</v>
      </c>
      <c r="U242" s="35" t="s">
        <v>349</v>
      </c>
      <c r="V242" s="35" t="s">
        <v>397</v>
      </c>
      <c r="W242" s="35" t="s">
        <v>398</v>
      </c>
      <c r="X242" s="35" t="s">
        <v>401</v>
      </c>
      <c r="Y242" s="35" t="s">
        <v>403</v>
      </c>
      <c r="Z242" s="35" t="s">
        <v>339</v>
      </c>
      <c r="AA242" s="35"/>
      <c r="AB242" s="104"/>
      <c r="AC242" s="35"/>
      <c r="AD242" s="35"/>
      <c r="AE242" s="35"/>
      <c r="AF242" s="35"/>
      <c r="AG242" s="35"/>
      <c r="AH242" s="35"/>
      <c r="AI242" s="35"/>
      <c r="AJ242" s="35"/>
      <c r="AK242" s="36"/>
      <c r="AL242" s="36"/>
      <c r="AM242" s="36"/>
      <c r="AN242" s="36"/>
      <c r="AO242" s="36"/>
      <c r="AP242" s="36"/>
      <c r="AQ242" s="36"/>
      <c r="AR242" s="36"/>
      <c r="AS242" s="36"/>
      <c r="AT242" s="36"/>
      <c r="AU242" s="36"/>
      <c r="AV242" s="36"/>
      <c r="AW242" s="36"/>
      <c r="AX242" s="36"/>
      <c r="AY242" s="36"/>
      <c r="AZ242" s="36"/>
      <c r="BA242" s="36"/>
      <c r="BB242" s="36"/>
    </row>
    <row r="243" spans="1:54" s="30" customFormat="1" ht="15" x14ac:dyDescent="0.2">
      <c r="B243" s="76" t="s">
        <v>342</v>
      </c>
      <c r="C243" s="471" t="s">
        <v>298</v>
      </c>
      <c r="D243" s="472"/>
      <c r="E243" s="472"/>
      <c r="F243" s="472"/>
      <c r="G243" s="473"/>
      <c r="J243" s="32"/>
      <c r="K243" s="37"/>
      <c r="L243" s="37"/>
      <c r="M243" s="40"/>
      <c r="N243" s="40"/>
      <c r="O243" s="250"/>
      <c r="Q243" s="45"/>
      <c r="R243" s="104"/>
      <c r="S243" s="35"/>
      <c r="T243" s="46" t="str">
        <f>IFERROR(IF(ISNUMBER(L242),"Kohdetieto",VLOOKUP(C243,Kalusto!$C$45:$L$84,7,FALSE)),"--")</f>
        <v>--</v>
      </c>
      <c r="U243" s="46" t="str">
        <f>IFERROR(IF(ISNUMBER(L242),"Kohdetieto",VLOOKUP(C243,Kalusto!$C$45:$L$84,8,FALSE)),"--")</f>
        <v>--</v>
      </c>
      <c r="V243" s="47" t="str">
        <f>IFERROR(IF(ISNUMBER(L242),"Kohdetieto",VLOOKUP(C243,Kalusto!$C$45:$L$84,9,FALSE)),"--")</f>
        <v>--</v>
      </c>
      <c r="W243" s="47" t="str">
        <f>IFERROR(IF(ISNUMBER(L242),"Kohdetieto",VLOOKUP(C243,Kalusto!$C$45:$L$84,10,FALSE)),"--")</f>
        <v>--</v>
      </c>
      <c r="X243" s="48" t="str">
        <f>IF(ISBLANK(C241),"",C241/1000)</f>
        <v/>
      </c>
      <c r="Y243" s="46" t="str">
        <f>IF(ISNUMBER(G242),G242,"")</f>
        <v/>
      </c>
      <c r="Z243" s="49" t="str">
        <f>IF(ISNUMBER(L242),L242,K242)</f>
        <v>--</v>
      </c>
      <c r="AA243" s="35"/>
      <c r="AB243" s="104"/>
      <c r="AC243" s="35"/>
      <c r="AD243" s="35"/>
      <c r="AE243" s="35"/>
      <c r="AF243" s="35"/>
      <c r="AG243" s="35"/>
      <c r="AH243" s="35"/>
      <c r="AI243" s="35"/>
      <c r="AJ243" s="35"/>
      <c r="AK243" s="36"/>
      <c r="AL243" s="36"/>
      <c r="AM243" s="36"/>
      <c r="AN243" s="36"/>
      <c r="AO243" s="36"/>
      <c r="AP243" s="36"/>
      <c r="AQ243" s="36"/>
      <c r="AR243" s="36"/>
      <c r="AS243" s="36"/>
      <c r="AT243" s="36"/>
      <c r="AU243" s="36"/>
      <c r="AV243" s="36"/>
      <c r="AW243" s="36"/>
      <c r="AX243" s="36"/>
      <c r="AY243" s="36"/>
      <c r="AZ243" s="36"/>
      <c r="BA243" s="36"/>
      <c r="BB243" s="36"/>
    </row>
    <row r="244" spans="1:54" s="30" customFormat="1" ht="15" x14ac:dyDescent="0.2">
      <c r="B244" s="76" t="s">
        <v>457</v>
      </c>
      <c r="C244" s="156" t="s">
        <v>309</v>
      </c>
      <c r="D244" s="33"/>
      <c r="E244" s="33"/>
      <c r="F244" s="33"/>
      <c r="G244" s="33"/>
      <c r="H244" s="57"/>
      <c r="J244" s="169"/>
      <c r="K244" s="37" t="s">
        <v>297</v>
      </c>
      <c r="L244" s="37" t="s">
        <v>185</v>
      </c>
      <c r="M244" s="40"/>
      <c r="N244" s="40"/>
      <c r="O244" s="250"/>
      <c r="Q244" s="45"/>
      <c r="R244" s="35"/>
      <c r="S244" s="35"/>
      <c r="T244" s="35"/>
      <c r="U244" s="35"/>
      <c r="V244" s="177"/>
      <c r="W244" s="177"/>
      <c r="X244" s="59"/>
      <c r="Y244" s="35"/>
      <c r="Z244" s="59"/>
      <c r="AA244" s="178"/>
      <c r="AB244" s="59"/>
      <c r="AC244" s="59"/>
      <c r="AD244" s="59"/>
      <c r="AE244" s="59"/>
      <c r="AF244" s="178"/>
      <c r="AG244" s="59"/>
      <c r="AH244" s="104"/>
      <c r="AI244" s="35"/>
      <c r="AJ244" s="35"/>
      <c r="AK244" s="36"/>
      <c r="AL244" s="36"/>
      <c r="AM244" s="36"/>
      <c r="AN244" s="36"/>
      <c r="AO244" s="36"/>
      <c r="AP244" s="36"/>
      <c r="AQ244" s="36"/>
      <c r="AR244" s="36"/>
      <c r="AS244" s="36"/>
      <c r="AT244" s="36"/>
      <c r="AU244" s="36"/>
      <c r="AV244" s="36"/>
      <c r="AW244" s="36"/>
      <c r="AX244" s="36"/>
      <c r="AY244" s="36"/>
      <c r="AZ244" s="36"/>
      <c r="BA244" s="36"/>
      <c r="BB244" s="36"/>
    </row>
    <row r="245" spans="1:54" s="30" customFormat="1" ht="15" x14ac:dyDescent="0.2">
      <c r="B245" s="151" t="s">
        <v>492</v>
      </c>
      <c r="C245" s="474" t="s">
        <v>739</v>
      </c>
      <c r="D245" s="474"/>
      <c r="G245" s="152"/>
      <c r="H245" s="81" t="s">
        <v>5</v>
      </c>
      <c r="J245" s="32" t="str">
        <f>IFERROR(VLOOKUP(C245,Kalusto!$B$107:$C$110,2,FALSE),"Valitse kuljetustapa")</f>
        <v>Valitse kuljetustapa</v>
      </c>
      <c r="K245" s="92" t="str">
        <f>IFERROR(IF(ISNUMBER(L245),L245,VLOOKUP(J245,Kalusto!$C$107:$G$110,5,FALSE)),"--")</f>
        <v>--</v>
      </c>
      <c r="L245" s="39"/>
      <c r="M245" s="40" t="s">
        <v>184</v>
      </c>
      <c r="N245" s="40"/>
      <c r="O245" s="250"/>
      <c r="Q245" s="34"/>
      <c r="R245" s="48" t="str">
        <f>IF(AND(ISNUMBER(G245)*ISNUMBER(C$241)),K245*G245*X243,"")</f>
        <v/>
      </c>
      <c r="S245" s="98" t="s">
        <v>160</v>
      </c>
      <c r="T245" s="104"/>
      <c r="U245" s="35"/>
      <c r="V245" s="35"/>
      <c r="W245" s="35"/>
      <c r="X245" s="35"/>
      <c r="Y245" s="35"/>
      <c r="Z245" s="35"/>
      <c r="AA245" s="35"/>
      <c r="AB245" s="35"/>
      <c r="AC245" s="35"/>
      <c r="AD245" s="35"/>
      <c r="AE245" s="35"/>
      <c r="AF245" s="35"/>
      <c r="AG245" s="35"/>
      <c r="AH245" s="35"/>
      <c r="AI245" s="35"/>
      <c r="AJ245" s="35"/>
      <c r="AK245" s="36"/>
      <c r="AL245" s="36"/>
      <c r="AM245" s="36"/>
      <c r="AN245" s="36"/>
      <c r="AO245" s="36"/>
      <c r="AP245" s="36"/>
      <c r="AQ245" s="36"/>
      <c r="AR245" s="36"/>
      <c r="AS245" s="36"/>
      <c r="AT245" s="36"/>
      <c r="AU245" s="36"/>
      <c r="AV245" s="36"/>
      <c r="AW245" s="36"/>
      <c r="AX245" s="36"/>
      <c r="AY245" s="36"/>
      <c r="AZ245" s="36"/>
      <c r="BA245" s="36"/>
      <c r="BB245" s="36"/>
    </row>
    <row r="246" spans="1:54" s="30" customFormat="1" ht="15" x14ac:dyDescent="0.2">
      <c r="B246" s="151" t="s">
        <v>492</v>
      </c>
      <c r="C246" s="474" t="s">
        <v>739</v>
      </c>
      <c r="D246" s="474"/>
      <c r="G246" s="152"/>
      <c r="H246" s="81" t="s">
        <v>5</v>
      </c>
      <c r="J246" s="32" t="str">
        <f>IFERROR(VLOOKUP(C246,Kalusto!$B$107:$C$110,2,FALSE),"Valitse kuljetustapa")</f>
        <v>Valitse kuljetustapa</v>
      </c>
      <c r="K246" s="92" t="str">
        <f>IFERROR(IF(ISNUMBER(L246),L246,VLOOKUP(J246,Kalusto!$C$107:$G$110,5,FALSE)),"--")</f>
        <v>--</v>
      </c>
      <c r="L246" s="39"/>
      <c r="M246" s="40" t="s">
        <v>184</v>
      </c>
      <c r="N246" s="40"/>
      <c r="O246" s="250"/>
      <c r="Q246" s="34"/>
      <c r="R246" s="48" t="str">
        <f t="shared" ref="R246:R247" si="1">IF(AND(ISNUMBER(G246)*ISNUMBER(C$241)),K246*G246*X244,"")</f>
        <v/>
      </c>
      <c r="S246" s="98" t="s">
        <v>160</v>
      </c>
      <c r="T246" s="104"/>
      <c r="U246" s="35"/>
      <c r="V246" s="35"/>
      <c r="W246" s="35"/>
      <c r="X246" s="35"/>
      <c r="Y246" s="35"/>
      <c r="Z246" s="35"/>
      <c r="AA246" s="35"/>
      <c r="AB246" s="35"/>
      <c r="AC246" s="35"/>
      <c r="AD246" s="35"/>
      <c r="AE246" s="35"/>
      <c r="AF246" s="35"/>
      <c r="AG246" s="35"/>
      <c r="AH246" s="35"/>
      <c r="AI246" s="35"/>
      <c r="AJ246" s="35"/>
      <c r="AK246" s="36"/>
      <c r="AL246" s="36"/>
      <c r="AM246" s="36"/>
      <c r="AN246" s="36"/>
      <c r="AO246" s="36"/>
      <c r="AP246" s="36"/>
      <c r="AQ246" s="36"/>
      <c r="AR246" s="36"/>
      <c r="AS246" s="36"/>
      <c r="AT246" s="36"/>
      <c r="AU246" s="36"/>
      <c r="AV246" s="36"/>
      <c r="AW246" s="36"/>
      <c r="AX246" s="36"/>
      <c r="AY246" s="36"/>
      <c r="AZ246" s="36"/>
      <c r="BA246" s="36"/>
      <c r="BB246" s="36"/>
    </row>
    <row r="247" spans="1:54" s="30" customFormat="1" ht="15" x14ac:dyDescent="0.2">
      <c r="B247" s="151" t="s">
        <v>492</v>
      </c>
      <c r="C247" s="474" t="s">
        <v>739</v>
      </c>
      <c r="D247" s="474"/>
      <c r="G247" s="152"/>
      <c r="H247" s="81" t="s">
        <v>5</v>
      </c>
      <c r="J247" s="32" t="str">
        <f>IFERROR(VLOOKUP(C247,Kalusto!$B$107:$C$110,2,FALSE),"Valitse kuljetustapa")</f>
        <v>Valitse kuljetustapa</v>
      </c>
      <c r="K247" s="92" t="str">
        <f>IFERROR(IF(ISNUMBER(L247),L247,VLOOKUP(J247,Kalusto!$C$107:$G$110,5,FALSE)),"--")</f>
        <v>--</v>
      </c>
      <c r="L247" s="39"/>
      <c r="M247" s="40" t="s">
        <v>184</v>
      </c>
      <c r="N247" s="40"/>
      <c r="O247" s="250"/>
      <c r="Q247" s="34"/>
      <c r="R247" s="48" t="str">
        <f t="shared" si="1"/>
        <v/>
      </c>
      <c r="S247" s="98" t="s">
        <v>160</v>
      </c>
      <c r="T247" s="104"/>
      <c r="U247" s="35"/>
      <c r="V247" s="35"/>
      <c r="W247" s="35"/>
      <c r="X247" s="35"/>
      <c r="Y247" s="35"/>
      <c r="Z247" s="35"/>
      <c r="AA247" s="35"/>
      <c r="AB247" s="35"/>
      <c r="AC247" s="35"/>
      <c r="AD247" s="35"/>
      <c r="AE247" s="35"/>
      <c r="AF247" s="35"/>
      <c r="AG247" s="35"/>
      <c r="AH247" s="35"/>
      <c r="AI247" s="35"/>
      <c r="AJ247" s="35"/>
      <c r="AK247" s="36"/>
      <c r="AL247" s="36"/>
      <c r="AM247" s="36"/>
      <c r="AN247" s="36"/>
      <c r="AO247" s="36"/>
      <c r="AP247" s="36"/>
      <c r="AQ247" s="36"/>
      <c r="AR247" s="36"/>
      <c r="AS247" s="36"/>
      <c r="AT247" s="36"/>
      <c r="AU247" s="36"/>
      <c r="AV247" s="36"/>
      <c r="AW247" s="36"/>
      <c r="AX247" s="36"/>
      <c r="AY247" s="36"/>
      <c r="AZ247" s="36"/>
      <c r="BA247" s="36"/>
      <c r="BB247" s="36"/>
    </row>
    <row r="248" spans="1:54" s="30" customFormat="1" ht="15" x14ac:dyDescent="0.2">
      <c r="C248" s="33"/>
      <c r="D248" s="81"/>
      <c r="G248" s="33"/>
      <c r="H248" s="81"/>
      <c r="J248" s="32"/>
      <c r="K248" s="33"/>
      <c r="L248" s="33"/>
      <c r="M248" s="81"/>
      <c r="N248" s="81"/>
      <c r="O248" s="249"/>
      <c r="Q248" s="34"/>
      <c r="R248" s="95"/>
      <c r="S248" s="35"/>
      <c r="T248" s="35"/>
      <c r="U248" s="35"/>
      <c r="V248" s="35"/>
      <c r="W248" s="35"/>
      <c r="X248" s="35"/>
      <c r="Y248" s="35"/>
      <c r="Z248" s="35"/>
      <c r="AA248" s="35"/>
      <c r="AB248" s="35"/>
      <c r="AC248" s="35"/>
      <c r="AD248" s="35"/>
      <c r="AE248" s="35"/>
      <c r="AF248" s="35"/>
      <c r="AG248" s="35"/>
      <c r="AH248" s="35"/>
      <c r="AI248" s="35"/>
      <c r="AJ248" s="35"/>
      <c r="AK248" s="36"/>
      <c r="AL248" s="36"/>
      <c r="AM248" s="36"/>
      <c r="AN248" s="36"/>
      <c r="AO248" s="36"/>
      <c r="AP248" s="36"/>
      <c r="AQ248" s="36"/>
      <c r="AR248" s="36"/>
      <c r="AS248" s="36"/>
      <c r="AT248" s="36"/>
      <c r="AU248" s="36"/>
      <c r="AV248" s="36"/>
      <c r="AW248" s="36"/>
      <c r="AX248" s="36"/>
      <c r="AY248" s="36"/>
      <c r="AZ248" s="36"/>
      <c r="BA248" s="36"/>
      <c r="BB248" s="36"/>
    </row>
    <row r="249" spans="1:54" s="30" customFormat="1" ht="18" x14ac:dyDescent="0.2">
      <c r="A249" s="289"/>
      <c r="B249" s="286" t="s">
        <v>666</v>
      </c>
      <c r="C249" s="287"/>
      <c r="D249" s="288"/>
      <c r="E249" s="289"/>
      <c r="F249" s="289"/>
      <c r="G249" s="287"/>
      <c r="H249" s="288"/>
      <c r="I249" s="289"/>
      <c r="J249" s="289"/>
      <c r="K249" s="290"/>
      <c r="L249" s="290"/>
      <c r="M249" s="288"/>
      <c r="N249" s="288"/>
      <c r="O249" s="291"/>
      <c r="P249" s="289"/>
      <c r="Q249" s="292"/>
      <c r="R249" s="293" t="str">
        <f>IF(OR(ISNUMBER(#REF!),ISNUMBER(#REF!),ISNUMBER(#REF!)),SUM(#REF!,#REF!,#REF!),"")</f>
        <v/>
      </c>
      <c r="S249" s="294"/>
      <c r="T249" s="294"/>
      <c r="U249" s="294"/>
      <c r="V249" s="294"/>
      <c r="W249" s="294"/>
      <c r="X249" s="294"/>
      <c r="Y249" s="294"/>
      <c r="Z249" s="294"/>
      <c r="AA249" s="294"/>
      <c r="AB249" s="294"/>
      <c r="AC249" s="294"/>
      <c r="AD249" s="294"/>
      <c r="AE249" s="294"/>
      <c r="AF249" s="294"/>
      <c r="AG249" s="294"/>
      <c r="AH249" s="294"/>
      <c r="AI249" s="294"/>
      <c r="AJ249" s="294"/>
      <c r="AK249" s="295"/>
      <c r="AL249" s="295"/>
      <c r="AM249" s="295"/>
      <c r="AN249" s="295"/>
      <c r="AO249" s="295"/>
      <c r="AP249" s="295"/>
      <c r="AQ249" s="295"/>
      <c r="AR249" s="295"/>
      <c r="AS249" s="295"/>
      <c r="AT249" s="295"/>
      <c r="AU249" s="295"/>
      <c r="AV249" s="295"/>
      <c r="AW249" s="295"/>
      <c r="AX249" s="295"/>
      <c r="AY249" s="295"/>
      <c r="AZ249" s="295"/>
      <c r="BA249" s="295"/>
      <c r="BB249" s="295"/>
    </row>
    <row r="250" spans="1:54" s="30" customFormat="1" ht="15.75" x14ac:dyDescent="0.2">
      <c r="B250" s="8"/>
      <c r="C250" s="33"/>
      <c r="D250" s="81"/>
      <c r="G250" s="33" t="s">
        <v>43</v>
      </c>
      <c r="H250" s="81"/>
      <c r="K250" s="37" t="s">
        <v>297</v>
      </c>
      <c r="L250" s="37" t="s">
        <v>185</v>
      </c>
      <c r="M250" s="81"/>
      <c r="N250" s="81"/>
      <c r="O250" s="249" t="s">
        <v>584</v>
      </c>
      <c r="Q250" s="34"/>
      <c r="R250" s="35" t="s">
        <v>318</v>
      </c>
      <c r="S250" s="35"/>
      <c r="T250" s="35" t="s">
        <v>238</v>
      </c>
      <c r="U250" s="35" t="s">
        <v>239</v>
      </c>
      <c r="V250" s="35" t="s">
        <v>240</v>
      </c>
      <c r="W250" s="35" t="s">
        <v>243</v>
      </c>
      <c r="X250" s="35" t="s">
        <v>241</v>
      </c>
      <c r="Y250" s="35" t="s">
        <v>242</v>
      </c>
      <c r="Z250" s="35" t="s">
        <v>244</v>
      </c>
      <c r="AA250" s="104"/>
      <c r="AB250" s="35"/>
      <c r="AC250" s="35"/>
      <c r="AD250" s="35"/>
      <c r="AE250" s="35"/>
      <c r="AF250" s="35"/>
      <c r="AG250" s="35"/>
      <c r="AH250" s="35"/>
      <c r="AI250" s="35"/>
      <c r="AJ250" s="35"/>
      <c r="AK250" s="36"/>
      <c r="AL250" s="36"/>
      <c r="AM250" s="36"/>
      <c r="AN250" s="36"/>
      <c r="AO250" s="36"/>
      <c r="AP250" s="36"/>
      <c r="AQ250" s="36"/>
      <c r="AR250" s="36"/>
      <c r="AS250" s="36"/>
      <c r="AT250" s="36"/>
      <c r="AU250" s="36"/>
      <c r="AV250" s="36"/>
      <c r="AW250" s="36"/>
      <c r="AX250" s="36"/>
      <c r="AY250" s="36"/>
      <c r="AZ250" s="36"/>
      <c r="BA250" s="36"/>
      <c r="BB250" s="36"/>
    </row>
    <row r="251" spans="1:54" s="30" customFormat="1" ht="15" x14ac:dyDescent="0.2">
      <c r="B251" s="52" t="s">
        <v>530</v>
      </c>
      <c r="C251" s="156"/>
      <c r="D251" s="81" t="s">
        <v>215</v>
      </c>
      <c r="G251" s="156"/>
      <c r="H251" s="81" t="s">
        <v>44</v>
      </c>
      <c r="J251" s="32" t="s">
        <v>514</v>
      </c>
      <c r="K251" s="108" t="str">
        <f>IFERROR(IF(ISNUMBER(L251),L251,VLOOKUP($C$255,Kalusto!$C$100:$E$105,3,FALSE)),"--")</f>
        <v>--</v>
      </c>
      <c r="L251" s="61"/>
      <c r="M251" s="75" t="str">
        <f>IF(C255=Pudotusvalikot!$J$9,"kWh/100 km",IF(C255=Pudotusvalikot!$J$6,"kg/100 km","l/100 km"))</f>
        <v>l/100 km</v>
      </c>
      <c r="N251" s="75"/>
      <c r="O251" s="250"/>
      <c r="Q251" s="34"/>
      <c r="R251" s="105">
        <f>SUM(U251:Z251)</f>
        <v>0</v>
      </c>
      <c r="S251" s="98" t="s">
        <v>160</v>
      </c>
      <c r="T251" s="46">
        <f>IF(ISNUMBER(C252*C251*G251),C252*C251*G251,"")</f>
        <v>0</v>
      </c>
      <c r="U251" s="48">
        <f>IF(ISNUMBER(T251),IF(C255=Pudotusvalikot!$J$5,(Muut!$F$16+Muut!$F$19)*(T251*K251/100),0),"")</f>
        <v>0</v>
      </c>
      <c r="V251" s="48">
        <f>IF(ISNUMBER(T251),IF(C255=Pudotusvalikot!$J$4,(Muut!$F$15+Muut!$F$18)*(T251*K251/100),0),"")</f>
        <v>0</v>
      </c>
      <c r="W251" s="48">
        <f>IF(ISNUMBER(T251),IF(C255=Pudotusvalikot!$J$6,(Muut!$F$17+Muut!$F$20)*(T251*K251/100),0),"")</f>
        <v>0</v>
      </c>
      <c r="X251" s="48">
        <f>IF(ISNUMBER(T251),IF(C255=Pudotusvalikot!$J$7,((Muut!$F$16+Muut!$F$19)*(100%-Kalusto!$O$103)+(Muut!$F$15+Muut!$F$18)*Kalusto!$O$103)*(T251*K251/100),0),"")</f>
        <v>0</v>
      </c>
      <c r="Y251" s="72">
        <f>IF(ISNUMBER(T251),IF(C255=Pudotusvalikot!$J$8,((Kalusto!$K$104)*(100%-Kalusto!$O$104)+(Kalusto!$M$104)*Kalusto!$O$104)*(Muut!$F$14+Muut!$F$13)/100*T251/1000+((Kalusto!$G$104)*(100%-Kalusto!$O$104)+(Kalusto!$I$104)*Kalusto!$O$104)*(K251+Muut!$F$19)/100*T251,0),"")</f>
        <v>0</v>
      </c>
      <c r="Z251" s="72">
        <f>IF(ISNUMBER(T251),IF(C255=Pudotusvalikot!$J$9,Kalusto!$E$105*(K251+Muut!$F$13)/100*T251/1000,0),"")</f>
        <v>0</v>
      </c>
      <c r="AA251" s="104"/>
      <c r="AB251" s="35"/>
      <c r="AC251" s="35"/>
      <c r="AD251" s="35"/>
      <c r="AE251" s="35"/>
      <c r="AF251" s="35"/>
      <c r="AG251" s="35"/>
      <c r="AH251" s="35"/>
      <c r="AI251" s="35"/>
      <c r="AJ251" s="35"/>
      <c r="AK251" s="36"/>
      <c r="AL251" s="36"/>
      <c r="AM251" s="36"/>
      <c r="AN251" s="36"/>
      <c r="AO251" s="36"/>
      <c r="AP251" s="36"/>
      <c r="AQ251" s="36"/>
      <c r="AR251" s="36"/>
      <c r="AS251" s="36"/>
      <c r="AT251" s="36"/>
      <c r="AU251" s="36"/>
      <c r="AV251" s="36"/>
      <c r="AW251" s="36"/>
      <c r="AX251" s="36"/>
      <c r="AY251" s="36"/>
      <c r="AZ251" s="36"/>
      <c r="BA251" s="36"/>
      <c r="BB251" s="36"/>
    </row>
    <row r="252" spans="1:54" s="30" customFormat="1" ht="15" x14ac:dyDescent="0.2">
      <c r="B252" s="44" t="s">
        <v>529</v>
      </c>
      <c r="C252" s="156"/>
      <c r="D252" s="81" t="s">
        <v>5</v>
      </c>
      <c r="G252" s="33"/>
      <c r="H252" s="81"/>
      <c r="K252" s="130"/>
      <c r="L252" s="37"/>
      <c r="M252" s="81"/>
      <c r="N252" s="81"/>
      <c r="O252" s="251"/>
      <c r="Q252" s="34"/>
      <c r="R252" s="35" t="s">
        <v>318</v>
      </c>
      <c r="S252" s="35"/>
      <c r="T252" s="35" t="s">
        <v>238</v>
      </c>
      <c r="U252" s="35" t="s">
        <v>239</v>
      </c>
      <c r="V252" s="35" t="s">
        <v>240</v>
      </c>
      <c r="W252" s="35" t="s">
        <v>243</v>
      </c>
      <c r="X252" s="35" t="s">
        <v>241</v>
      </c>
      <c r="Y252" s="35" t="s">
        <v>242</v>
      </c>
      <c r="Z252" s="35" t="s">
        <v>244</v>
      </c>
      <c r="AA252" s="104"/>
      <c r="AB252" s="35"/>
      <c r="AC252" s="35"/>
      <c r="AD252" s="35"/>
      <c r="AE252" s="35"/>
      <c r="AF252" s="35"/>
      <c r="AG252" s="35"/>
      <c r="AH252" s="35"/>
      <c r="AI252" s="35"/>
      <c r="AJ252" s="35"/>
      <c r="AK252" s="36"/>
      <c r="AL252" s="36"/>
      <c r="AM252" s="36"/>
      <c r="AN252" s="36"/>
      <c r="AO252" s="36"/>
      <c r="AP252" s="36"/>
      <c r="AQ252" s="36"/>
      <c r="AR252" s="36"/>
      <c r="AS252" s="36"/>
      <c r="AT252" s="36"/>
      <c r="AU252" s="36"/>
      <c r="AV252" s="36"/>
      <c r="AW252" s="36"/>
      <c r="AX252" s="36"/>
      <c r="AY252" s="36"/>
      <c r="AZ252" s="36"/>
      <c r="BA252" s="36"/>
      <c r="BB252" s="36"/>
    </row>
    <row r="253" spans="1:54" s="30" customFormat="1" ht="30" x14ac:dyDescent="0.2">
      <c r="B253" s="76" t="s">
        <v>528</v>
      </c>
      <c r="C253" s="156"/>
      <c r="D253" s="81" t="s">
        <v>216</v>
      </c>
      <c r="G253" s="156"/>
      <c r="H253" s="81" t="s">
        <v>44</v>
      </c>
      <c r="J253" s="32" t="s">
        <v>514</v>
      </c>
      <c r="K253" s="108" t="str">
        <f>IFERROR(IF(ISNUMBER(L253),L253,VLOOKUP($C$255,Kalusto!$C$100:$E$105,3,FALSE)),"--")</f>
        <v>--</v>
      </c>
      <c r="L253" s="61"/>
      <c r="M253" s="75" t="str">
        <f>IF(C255=Pudotusvalikot!$J$9,"kWh/100 km",IF(C255=Pudotusvalikot!$J$6,"kg/100 km","l/100 km"))</f>
        <v>l/100 km</v>
      </c>
      <c r="N253" s="75"/>
      <c r="O253" s="256"/>
      <c r="Q253" s="34"/>
      <c r="R253" s="105">
        <f>SUM(U253:Z253)</f>
        <v>0</v>
      </c>
      <c r="S253" s="98" t="s">
        <v>160</v>
      </c>
      <c r="T253" s="46">
        <f>IF(ISNUMBER(C254*C253*50*G253),C254*C253*50*G253,"")</f>
        <v>0</v>
      </c>
      <c r="U253" s="48">
        <f>IF(ISNUMBER(T253),IF(C255=Pudotusvalikot!$J$5,(Muut!$F$16+Muut!$F$19)*(T253*K253/100),0),"")</f>
        <v>0</v>
      </c>
      <c r="V253" s="48">
        <f>IF(ISNUMBER(T253),IF(C255=Pudotusvalikot!$J$4,(Muut!$F$15+Muut!$F$18)*(T253*K253/100),0),"")</f>
        <v>0</v>
      </c>
      <c r="W253" s="48">
        <f>IF(ISNUMBER(T253),IF(C255=Pudotusvalikot!$J$6,(Muut!$F$17+Muut!$F$20)*(T253*K253/100),0),"")</f>
        <v>0</v>
      </c>
      <c r="X253" s="48">
        <f>IF(ISNUMBER(T253),IF(C255=Pudotusvalikot!$J$7,((Muut!$F$16+Muut!$F$19)*(100%-Kalusto!$O$103)+(Muut!$F$15+Muut!$F$18)*Kalusto!$O$103)*(T253*K253/100),0),"")</f>
        <v>0</v>
      </c>
      <c r="Y253" s="72">
        <f>IF(ISNUMBER(T253),IF(C255=Pudotusvalikot!$J$8,((Kalusto!$K$104)*(100%-Kalusto!$O$104)+(Kalusto!$M$104)*Kalusto!$O$104)*(Muut!$F$14+Muut!$F$13)/100*T253/1000+((Kalusto!$G$104)*(100%-Kalusto!$O$104)+(Kalusto!$I$104)*Kalusto!$O$104)*(K253+Muut!$F$19)/100*T253,0),"")</f>
        <v>0</v>
      </c>
      <c r="Z253" s="72">
        <f>IF(ISNUMBER(T253),IF(C255=Pudotusvalikot!$J$9,Kalusto!$E$105*(K253+Muut!$F$13)/100*T253/1000,0),"")</f>
        <v>0</v>
      </c>
      <c r="AA253" s="104"/>
      <c r="AB253" s="35"/>
      <c r="AC253" s="35"/>
      <c r="AD253" s="35"/>
      <c r="AE253" s="35"/>
      <c r="AF253" s="35"/>
      <c r="AG253" s="35"/>
      <c r="AH253" s="35"/>
      <c r="AI253" s="35"/>
      <c r="AJ253" s="35"/>
      <c r="AK253" s="36"/>
      <c r="AL253" s="36"/>
      <c r="AM253" s="36"/>
      <c r="AN253" s="36"/>
      <c r="AO253" s="36"/>
      <c r="AP253" s="36"/>
      <c r="AQ253" s="36"/>
      <c r="AR253" s="36"/>
      <c r="AS253" s="36"/>
      <c r="AT253" s="36"/>
      <c r="AU253" s="36"/>
      <c r="AV253" s="36"/>
      <c r="AW253" s="36"/>
      <c r="AX253" s="36"/>
      <c r="AY253" s="36"/>
      <c r="AZ253" s="36"/>
      <c r="BA253" s="36"/>
      <c r="BB253" s="36"/>
    </row>
    <row r="254" spans="1:54" s="30" customFormat="1" ht="15" x14ac:dyDescent="0.2">
      <c r="B254" s="44" t="s">
        <v>527</v>
      </c>
      <c r="C254" s="156"/>
      <c r="D254" s="81" t="s">
        <v>5</v>
      </c>
      <c r="G254" s="33"/>
      <c r="H254" s="81"/>
      <c r="K254" s="130"/>
      <c r="L254" s="37"/>
      <c r="M254" s="81"/>
      <c r="N254" s="81"/>
      <c r="O254" s="251"/>
      <c r="Q254" s="34"/>
      <c r="R254" s="35" t="s">
        <v>318</v>
      </c>
      <c r="S254" s="35"/>
      <c r="T254" s="35" t="s">
        <v>238</v>
      </c>
      <c r="U254" s="35" t="s">
        <v>239</v>
      </c>
      <c r="V254" s="35" t="s">
        <v>240</v>
      </c>
      <c r="W254" s="35" t="s">
        <v>243</v>
      </c>
      <c r="X254" s="35" t="s">
        <v>241</v>
      </c>
      <c r="Y254" s="35" t="s">
        <v>242</v>
      </c>
      <c r="Z254" s="35" t="s">
        <v>244</v>
      </c>
      <c r="AA254" s="104"/>
      <c r="AB254" s="35"/>
      <c r="AC254" s="35"/>
      <c r="AD254" s="35"/>
      <c r="AE254" s="35"/>
      <c r="AF254" s="35"/>
      <c r="AG254" s="35"/>
      <c r="AH254" s="35"/>
      <c r="AI254" s="35"/>
      <c r="AJ254" s="35"/>
      <c r="AK254" s="36"/>
      <c r="AL254" s="36"/>
      <c r="AM254" s="36"/>
      <c r="AN254" s="36"/>
      <c r="AO254" s="36"/>
      <c r="AP254" s="36"/>
      <c r="AQ254" s="36"/>
      <c r="AR254" s="36"/>
      <c r="AS254" s="36"/>
      <c r="AT254" s="36"/>
      <c r="AU254" s="36"/>
      <c r="AV254" s="36"/>
      <c r="AW254" s="36"/>
      <c r="AX254" s="36"/>
      <c r="AY254" s="36"/>
      <c r="AZ254" s="36"/>
      <c r="BA254" s="36"/>
      <c r="BB254" s="36"/>
    </row>
    <row r="255" spans="1:54" s="30" customFormat="1" ht="15" x14ac:dyDescent="0.2">
      <c r="B255" s="52" t="s">
        <v>524</v>
      </c>
      <c r="C255" s="156" t="s">
        <v>309</v>
      </c>
      <c r="D255" s="312"/>
      <c r="G255" s="33"/>
      <c r="H255" s="81"/>
      <c r="J255" s="32"/>
      <c r="K255" s="33"/>
      <c r="L255" s="33"/>
      <c r="M255" s="81"/>
      <c r="N255" s="81"/>
      <c r="O255" s="251"/>
      <c r="Q255" s="34"/>
      <c r="R255" s="95"/>
      <c r="S255" s="35"/>
      <c r="T255" s="35"/>
      <c r="U255" s="35"/>
      <c r="V255" s="35"/>
      <c r="W255" s="35"/>
      <c r="X255" s="35"/>
      <c r="Y255" s="35"/>
      <c r="Z255" s="35"/>
      <c r="AA255" s="35"/>
      <c r="AB255" s="35"/>
      <c r="AC255" s="35"/>
      <c r="AD255" s="35"/>
      <c r="AE255" s="35"/>
      <c r="AF255" s="35"/>
      <c r="AG255" s="35"/>
      <c r="AH255" s="35"/>
      <c r="AI255" s="35"/>
      <c r="AJ255" s="35"/>
      <c r="AK255" s="36"/>
      <c r="AL255" s="36"/>
      <c r="AM255" s="36"/>
      <c r="AN255" s="36"/>
      <c r="AO255" s="36"/>
      <c r="AP255" s="36"/>
      <c r="AQ255" s="36"/>
      <c r="AR255" s="36"/>
      <c r="AS255" s="36"/>
      <c r="AT255" s="36"/>
      <c r="AU255" s="36"/>
      <c r="AV255" s="36"/>
      <c r="AW255" s="36"/>
      <c r="AX255" s="36"/>
      <c r="AY255" s="36"/>
      <c r="AZ255" s="36"/>
      <c r="BA255" s="36"/>
      <c r="BB255" s="36"/>
    </row>
    <row r="256" spans="1:54" s="30" customFormat="1" ht="15" x14ac:dyDescent="0.2">
      <c r="B256" s="52"/>
      <c r="C256" s="33"/>
      <c r="D256" s="33"/>
      <c r="G256" s="33"/>
      <c r="H256" s="81"/>
      <c r="J256" s="32"/>
      <c r="K256" s="33"/>
      <c r="L256" s="33"/>
      <c r="M256" s="81"/>
      <c r="N256" s="81"/>
      <c r="O256" s="251"/>
      <c r="Q256" s="34"/>
      <c r="R256" s="95"/>
      <c r="S256" s="35"/>
      <c r="T256" s="35"/>
      <c r="U256" s="35"/>
      <c r="V256" s="35"/>
      <c r="W256" s="35"/>
      <c r="X256" s="35"/>
      <c r="Y256" s="35"/>
      <c r="Z256" s="35"/>
      <c r="AA256" s="35"/>
      <c r="AB256" s="35"/>
      <c r="AC256" s="35"/>
      <c r="AD256" s="35"/>
      <c r="AE256" s="35"/>
      <c r="AF256" s="35"/>
      <c r="AG256" s="35"/>
      <c r="AH256" s="35"/>
      <c r="AI256" s="35"/>
      <c r="AJ256" s="35"/>
      <c r="AK256" s="36"/>
      <c r="AL256" s="36"/>
      <c r="AM256" s="36"/>
      <c r="AN256" s="36"/>
      <c r="AO256" s="36"/>
      <c r="AP256" s="36"/>
      <c r="AQ256" s="36"/>
      <c r="AR256" s="36"/>
      <c r="AS256" s="36"/>
      <c r="AT256" s="36"/>
      <c r="AU256" s="36"/>
      <c r="AV256" s="36"/>
      <c r="AW256" s="36"/>
      <c r="AX256" s="36"/>
      <c r="AY256" s="36"/>
      <c r="AZ256" s="36"/>
      <c r="BA256" s="36"/>
      <c r="BB256" s="36"/>
    </row>
    <row r="257" spans="1:56" s="24" customFormat="1" ht="30.75" x14ac:dyDescent="0.2">
      <c r="B257" s="7" t="s">
        <v>25</v>
      </c>
      <c r="C257" s="26"/>
      <c r="D257" s="82"/>
      <c r="G257" s="26"/>
      <c r="H257" s="82"/>
      <c r="K257" s="362"/>
      <c r="L257" s="362"/>
      <c r="M257" s="82"/>
      <c r="N257" s="82"/>
      <c r="O257" s="363"/>
      <c r="Q257" s="34"/>
      <c r="R257" s="95"/>
      <c r="S257" s="35"/>
      <c r="T257" s="35"/>
      <c r="U257" s="35"/>
      <c r="V257" s="35"/>
      <c r="W257" s="35"/>
      <c r="X257" s="35"/>
      <c r="Y257" s="35"/>
      <c r="Z257" s="35"/>
      <c r="AA257" s="35"/>
      <c r="AB257" s="35"/>
      <c r="AC257" s="35"/>
      <c r="AD257" s="35"/>
      <c r="AE257" s="35"/>
      <c r="AF257" s="35"/>
      <c r="AG257" s="35"/>
      <c r="AH257" s="35"/>
      <c r="AI257" s="35"/>
      <c r="AJ257" s="35"/>
      <c r="AK257" s="36"/>
      <c r="AL257" s="36"/>
      <c r="AM257" s="36"/>
      <c r="AN257" s="36"/>
      <c r="AO257" s="36"/>
      <c r="AP257" s="36"/>
      <c r="AQ257" s="36"/>
      <c r="AR257" s="36"/>
      <c r="AS257" s="36"/>
      <c r="AT257" s="36"/>
      <c r="AU257" s="36"/>
      <c r="AV257" s="36"/>
      <c r="AW257" s="36"/>
      <c r="AX257" s="36"/>
      <c r="AY257" s="36"/>
      <c r="AZ257" s="36"/>
      <c r="BA257" s="36"/>
      <c r="BB257" s="36"/>
    </row>
    <row r="258" spans="1:56" s="30" customFormat="1" ht="15" x14ac:dyDescent="0.2">
      <c r="C258" s="33"/>
      <c r="D258" s="81"/>
      <c r="G258" s="33"/>
      <c r="H258" s="81"/>
      <c r="J258" s="32"/>
      <c r="O258" s="167"/>
      <c r="P258" s="67"/>
      <c r="Q258" s="104"/>
      <c r="R258" s="94"/>
      <c r="S258" s="104"/>
      <c r="T258" s="36"/>
      <c r="U258" s="35"/>
      <c r="V258" s="35"/>
      <c r="W258" s="35"/>
      <c r="X258" s="35"/>
      <c r="Y258" s="35"/>
      <c r="Z258" s="35"/>
      <c r="AA258" s="35"/>
      <c r="AB258" s="35"/>
      <c r="AC258" s="35"/>
      <c r="AD258" s="35"/>
      <c r="AE258" s="35"/>
      <c r="AF258" s="35"/>
      <c r="AG258" s="35"/>
      <c r="AH258" s="35"/>
      <c r="AI258" s="35"/>
      <c r="AJ258" s="35"/>
      <c r="AK258" s="35"/>
      <c r="AL258" s="35"/>
      <c r="AM258" s="36"/>
      <c r="AN258" s="36"/>
      <c r="AO258" s="36"/>
      <c r="AP258" s="36"/>
      <c r="AQ258" s="36"/>
      <c r="AR258" s="36"/>
      <c r="AS258" s="36"/>
      <c r="AT258" s="36"/>
      <c r="AU258" s="36"/>
      <c r="AV258" s="36"/>
      <c r="AW258" s="36"/>
      <c r="AX258" s="36"/>
      <c r="AY258" s="36"/>
      <c r="AZ258" s="36"/>
      <c r="BA258" s="36"/>
      <c r="BB258" s="36"/>
      <c r="BC258" s="54"/>
      <c r="BD258" s="54"/>
    </row>
    <row r="259" spans="1:56" s="30" customFormat="1" ht="18" x14ac:dyDescent="0.2">
      <c r="A259" s="289"/>
      <c r="B259" s="286" t="s">
        <v>668</v>
      </c>
      <c r="C259" s="287"/>
      <c r="D259" s="288"/>
      <c r="E259" s="289"/>
      <c r="F259" s="289"/>
      <c r="G259" s="287"/>
      <c r="H259" s="288"/>
      <c r="I259" s="289"/>
      <c r="J259" s="289"/>
      <c r="K259" s="290"/>
      <c r="L259" s="290"/>
      <c r="M259" s="288"/>
      <c r="N259" s="288"/>
      <c r="O259" s="291"/>
      <c r="P259" s="289"/>
      <c r="Q259" s="292"/>
      <c r="R259" s="293"/>
      <c r="S259" s="294"/>
      <c r="T259" s="294"/>
      <c r="U259" s="294"/>
      <c r="V259" s="294"/>
      <c r="W259" s="294"/>
      <c r="X259" s="294"/>
      <c r="Y259" s="294"/>
      <c r="Z259" s="294"/>
      <c r="AA259" s="294"/>
      <c r="AB259" s="294"/>
      <c r="AC259" s="294"/>
      <c r="AD259" s="294"/>
      <c r="AE259" s="294"/>
      <c r="AF259" s="294"/>
      <c r="AG259" s="294"/>
      <c r="AH259" s="294"/>
      <c r="AI259" s="294"/>
      <c r="AJ259" s="294"/>
      <c r="AK259" s="295"/>
      <c r="AL259" s="295"/>
      <c r="AM259" s="295"/>
      <c r="AN259" s="295"/>
      <c r="AO259" s="295"/>
      <c r="AP259" s="295"/>
      <c r="AQ259" s="295"/>
      <c r="AR259" s="295"/>
      <c r="AS259" s="295"/>
      <c r="AT259" s="295"/>
      <c r="AU259" s="295"/>
      <c r="AV259" s="295"/>
      <c r="AW259" s="295"/>
      <c r="AX259" s="295"/>
      <c r="AY259" s="295"/>
      <c r="AZ259" s="295"/>
      <c r="BA259" s="295"/>
      <c r="BB259" s="295"/>
    </row>
    <row r="260" spans="1:56" s="30" customFormat="1" ht="15.75" x14ac:dyDescent="0.2">
      <c r="B260" s="8"/>
      <c r="C260" s="33"/>
      <c r="D260" s="81"/>
      <c r="G260" s="33"/>
      <c r="H260" s="81"/>
      <c r="K260" s="37"/>
      <c r="L260" s="37"/>
      <c r="O260" s="249" t="s">
        <v>584</v>
      </c>
      <c r="P260" s="67"/>
      <c r="Q260" s="104"/>
      <c r="R260" s="35" t="s">
        <v>318</v>
      </c>
      <c r="S260" s="35"/>
      <c r="T260" s="35"/>
      <c r="U260" s="35"/>
      <c r="V260" s="35"/>
      <c r="W260" s="35"/>
      <c r="X260" s="35"/>
      <c r="Y260" s="35"/>
      <c r="Z260" s="35"/>
      <c r="AA260" s="35"/>
      <c r="AB260" s="35"/>
      <c r="AC260" s="35"/>
      <c r="AD260" s="35"/>
      <c r="AE260" s="35"/>
      <c r="AF260" s="35"/>
      <c r="AG260" s="35"/>
      <c r="AH260" s="35"/>
      <c r="AI260" s="35"/>
      <c r="AJ260" s="35"/>
      <c r="AK260" s="35"/>
      <c r="AL260" s="35"/>
      <c r="AM260" s="36"/>
      <c r="AN260" s="36"/>
      <c r="AO260" s="36"/>
      <c r="AP260" s="36"/>
      <c r="AQ260" s="36"/>
      <c r="AR260" s="36"/>
      <c r="AS260" s="36"/>
      <c r="AT260" s="36"/>
      <c r="AU260" s="36"/>
      <c r="AV260" s="36"/>
      <c r="AW260" s="36"/>
      <c r="AX260" s="36"/>
      <c r="AY260" s="36"/>
      <c r="AZ260" s="36"/>
      <c r="BA260" s="36"/>
      <c r="BB260" s="36"/>
      <c r="BC260" s="54"/>
      <c r="BD260" s="54"/>
    </row>
    <row r="261" spans="1:56" s="30" customFormat="1" ht="15" x14ac:dyDescent="0.2">
      <c r="B261" s="151" t="s">
        <v>392</v>
      </c>
      <c r="C261" s="33"/>
      <c r="D261" s="81"/>
      <c r="G261" s="33"/>
      <c r="H261" s="81"/>
      <c r="K261" s="37" t="s">
        <v>297</v>
      </c>
      <c r="L261" s="37" t="s">
        <v>185</v>
      </c>
      <c r="M261" s="81"/>
      <c r="N261" s="81"/>
      <c r="O261" s="250"/>
      <c r="Q261" s="34"/>
      <c r="R261" s="35" t="s">
        <v>160</v>
      </c>
      <c r="S261" s="35"/>
      <c r="T261" s="35" t="s">
        <v>400</v>
      </c>
      <c r="U261" s="35" t="s">
        <v>399</v>
      </c>
      <c r="V261" s="35" t="s">
        <v>397</v>
      </c>
      <c r="W261" s="35" t="s">
        <v>398</v>
      </c>
      <c r="X261" s="35" t="s">
        <v>401</v>
      </c>
      <c r="Y261" s="35" t="s">
        <v>403</v>
      </c>
      <c r="Z261" s="35" t="s">
        <v>402</v>
      </c>
      <c r="AA261" s="35" t="s">
        <v>186</v>
      </c>
      <c r="AB261" s="35" t="s">
        <v>345</v>
      </c>
      <c r="AC261" s="35" t="s">
        <v>404</v>
      </c>
      <c r="AD261" s="35" t="s">
        <v>346</v>
      </c>
      <c r="AE261" s="35" t="s">
        <v>405</v>
      </c>
      <c r="AF261" s="35" t="s">
        <v>406</v>
      </c>
      <c r="AG261" s="35" t="s">
        <v>578</v>
      </c>
      <c r="AH261" s="104"/>
      <c r="AI261" s="35"/>
      <c r="AJ261" s="35"/>
      <c r="AK261" s="36"/>
      <c r="AL261" s="36"/>
      <c r="AM261" s="36"/>
      <c r="AN261" s="36"/>
      <c r="AO261" s="36"/>
      <c r="AP261" s="36"/>
      <c r="AQ261" s="36"/>
      <c r="AR261" s="36"/>
      <c r="AS261" s="36"/>
      <c r="AT261" s="36"/>
      <c r="AU261" s="36"/>
      <c r="AV261" s="36"/>
      <c r="AW261" s="36"/>
      <c r="AX261" s="36"/>
      <c r="AY261" s="36"/>
      <c r="AZ261" s="36"/>
      <c r="BA261" s="36"/>
      <c r="BB261" s="36"/>
    </row>
    <row r="262" spans="1:56" s="30" customFormat="1" ht="30" x14ac:dyDescent="0.2">
      <c r="B262" s="166" t="s">
        <v>455</v>
      </c>
      <c r="C262" s="471" t="s">
        <v>298</v>
      </c>
      <c r="D262" s="472"/>
      <c r="E262" s="472"/>
      <c r="F262" s="472"/>
      <c r="G262" s="473"/>
      <c r="J262" s="169" t="s">
        <v>395</v>
      </c>
      <c r="K262" s="92" t="str">
        <f>IFERROR(IF(ISNUMBER(L262),L262,(VLOOKUP(C262,Kalusto!$C$45:$G$84,5,FALSE)*(VLOOKUP(C263,Muut!$D$40:$E$43,2,FALSE)))),"--")</f>
        <v>--</v>
      </c>
      <c r="L262" s="39"/>
      <c r="M262" s="40" t="s">
        <v>184</v>
      </c>
      <c r="N262" s="40"/>
      <c r="O262" s="250"/>
      <c r="Q262" s="45"/>
      <c r="R262" s="48" t="str">
        <f>IF(AND(NOT(ISNUMBER(AB262)),NOT(ISNUMBER(AG262))),"",IF(ISNUMBER(AB262),AB262,0)+IF(ISNUMBER(AG262),AG262,0))</f>
        <v/>
      </c>
      <c r="S262" s="98" t="s">
        <v>438</v>
      </c>
      <c r="T262" s="46" t="str">
        <f>IFERROR(IF(ISNUMBER(L262),"Kohdetieto",VLOOKUP(C262,Kalusto!$C$45:$L$84,7,FALSE)),"--")</f>
        <v>--</v>
      </c>
      <c r="U262" s="46" t="str">
        <f>IFERROR(IF(ISNUMBER(L262),"Kohdetieto",VLOOKUP(C262,Kalusto!$C$45:$L$84,8,FALSE)),"--")</f>
        <v>--</v>
      </c>
      <c r="V262" s="47" t="str">
        <f>IFERROR(IF(ISNUMBER(L262),"Kohdetieto",VLOOKUP(C262,Kalusto!$C$45:$L$84,9,FALSE)),"--")</f>
        <v>--</v>
      </c>
      <c r="W262" s="47" t="str">
        <f>IFERROR(IF(ISNUMBER(L262),"Kohdetieto",VLOOKUP(C262,Kalusto!$C$45:$L$84,10,FALSE)),"--")</f>
        <v>--</v>
      </c>
      <c r="X262" s="48" t="str">
        <f>IF(ISBLANK(C264),"",C264)</f>
        <v/>
      </c>
      <c r="Y262" s="46" t="str">
        <f>IF(ISNUMBER(C265),C265,"")</f>
        <v/>
      </c>
      <c r="Z262" s="48" t="str">
        <f>IF(ISNUMBER(X262/(U262*V262)*Y262),X262/(U262*V262)*Y262,"")</f>
        <v/>
      </c>
      <c r="AA262" s="49" t="str">
        <f>IF(ISNUMBER(L262),L262,K262)</f>
        <v>--</v>
      </c>
      <c r="AB262" s="48" t="str">
        <f>IF(ISNUMBER(Y262*X262*K262),Y262*X262*K262,"")</f>
        <v/>
      </c>
      <c r="AC262" s="48" t="str">
        <f>IF(C$277="Kyllä",Y262,"")</f>
        <v/>
      </c>
      <c r="AD262" s="48" t="str">
        <f>IF(C$277="Kyllä",IF(ISNUMBER(X262/(U262*V262)),CEILING(X262/(U262*V262),1),""),"")</f>
        <v/>
      </c>
      <c r="AE262" s="48" t="str">
        <f>IF(ISNUMBER(AD262*AC262),AD262*AC262,"")</f>
        <v/>
      </c>
      <c r="AF262" s="49" t="str">
        <f>IF(ISNUMBER(L264),L264,K264)</f>
        <v>--</v>
      </c>
      <c r="AG262" s="48" t="str">
        <f>IF(ISNUMBER(AC262*AD262*K264),AC262*AD262*K264,"")</f>
        <v/>
      </c>
      <c r="AH262" s="104"/>
      <c r="AI262" s="35"/>
      <c r="AJ262" s="35"/>
      <c r="AK262" s="36"/>
      <c r="AL262" s="36"/>
      <c r="AM262" s="36"/>
      <c r="AN262" s="36"/>
      <c r="AO262" s="36"/>
      <c r="AP262" s="36"/>
      <c r="AQ262" s="36"/>
      <c r="AR262" s="36"/>
      <c r="AS262" s="36"/>
      <c r="AT262" s="36"/>
      <c r="AU262" s="36"/>
      <c r="AV262" s="36"/>
      <c r="AW262" s="36"/>
      <c r="AX262" s="36"/>
      <c r="AY262" s="36"/>
      <c r="AZ262" s="36"/>
      <c r="BA262" s="36"/>
      <c r="BB262" s="36"/>
    </row>
    <row r="263" spans="1:56" s="30" customFormat="1" ht="15" x14ac:dyDescent="0.2">
      <c r="B263" s="182" t="s">
        <v>457</v>
      </c>
      <c r="C263" s="156" t="s">
        <v>309</v>
      </c>
      <c r="D263" s="33"/>
      <c r="E263" s="33"/>
      <c r="F263" s="33"/>
      <c r="G263" s="33"/>
      <c r="H263" s="57"/>
      <c r="J263" s="169"/>
      <c r="K263" s="169"/>
      <c r="L263" s="169"/>
      <c r="M263" s="40"/>
      <c r="N263" s="40"/>
      <c r="O263" s="250"/>
      <c r="Q263" s="45"/>
      <c r="R263" s="35"/>
      <c r="S263" s="35"/>
      <c r="T263" s="35"/>
      <c r="U263" s="35"/>
      <c r="V263" s="177"/>
      <c r="W263" s="177"/>
      <c r="X263" s="59"/>
      <c r="Y263" s="35"/>
      <c r="Z263" s="59"/>
      <c r="AA263" s="178"/>
      <c r="AB263" s="59"/>
      <c r="AC263" s="59"/>
      <c r="AD263" s="59"/>
      <c r="AE263" s="59"/>
      <c r="AF263" s="178"/>
      <c r="AG263" s="59"/>
      <c r="AH263" s="104"/>
      <c r="AI263" s="35"/>
      <c r="AJ263" s="35"/>
      <c r="AK263" s="36"/>
      <c r="AL263" s="36"/>
      <c r="AM263" s="36"/>
      <c r="AN263" s="36"/>
      <c r="AO263" s="36"/>
      <c r="AP263" s="36"/>
      <c r="AQ263" s="36"/>
      <c r="AR263" s="36"/>
      <c r="AS263" s="36"/>
      <c r="AT263" s="36"/>
      <c r="AU263" s="36"/>
      <c r="AV263" s="36"/>
      <c r="AW263" s="36"/>
      <c r="AX263" s="36"/>
      <c r="AY263" s="36"/>
      <c r="AZ263" s="36"/>
      <c r="BA263" s="36"/>
      <c r="BB263" s="36"/>
    </row>
    <row r="264" spans="1:56" s="30" customFormat="1" ht="15" x14ac:dyDescent="0.2">
      <c r="B264" s="44" t="s">
        <v>456</v>
      </c>
      <c r="C264" s="152"/>
      <c r="D264" s="81" t="s">
        <v>52</v>
      </c>
      <c r="G264" s="33"/>
      <c r="H264" s="81"/>
      <c r="J264" s="32" t="s">
        <v>396</v>
      </c>
      <c r="K264" s="92" t="str">
        <f>IFERROR(IF(ISNUMBER(L264),L264,IF($C$277="Ei","",VLOOKUP(C262,Kalusto!$C$45:$U$84,19,FALSE)*VLOOKUP(C263,Muut!$D$40:$E$43,2,FALSE))),"--")</f>
        <v>--</v>
      </c>
      <c r="L264" s="39"/>
      <c r="M264" s="40" t="s">
        <v>188</v>
      </c>
      <c r="N264" s="40"/>
      <c r="O264" s="250"/>
      <c r="P264" s="33"/>
      <c r="Q264" s="50"/>
      <c r="R264" s="48" t="str">
        <f>IF(ISNUMBER(R262),R262,"")</f>
        <v/>
      </c>
      <c r="S264" s="98" t="s">
        <v>439</v>
      </c>
      <c r="T264" s="35"/>
      <c r="U264" s="35"/>
      <c r="V264" s="35"/>
      <c r="W264" s="35"/>
      <c r="X264" s="35"/>
      <c r="Y264" s="35"/>
      <c r="Z264" s="35"/>
      <c r="AA264" s="35"/>
      <c r="AB264" s="35"/>
      <c r="AC264" s="35"/>
      <c r="AD264" s="35"/>
      <c r="AE264" s="35"/>
      <c r="AF264" s="35"/>
      <c r="AG264" s="35"/>
      <c r="AH264" s="104"/>
      <c r="AI264" s="35"/>
      <c r="AJ264" s="35"/>
      <c r="AK264" s="36"/>
      <c r="AL264" s="36"/>
      <c r="AM264" s="36"/>
      <c r="AN264" s="36"/>
      <c r="AO264" s="36"/>
      <c r="AP264" s="36"/>
      <c r="AQ264" s="36"/>
      <c r="AR264" s="36"/>
      <c r="AS264" s="36"/>
      <c r="AT264" s="36"/>
      <c r="AU264" s="36"/>
      <c r="AV264" s="36"/>
      <c r="AW264" s="36"/>
      <c r="AX264" s="36"/>
      <c r="AY264" s="36"/>
      <c r="AZ264" s="36"/>
      <c r="BA264" s="36"/>
      <c r="BB264" s="36"/>
    </row>
    <row r="265" spans="1:56" s="30" customFormat="1" ht="15" x14ac:dyDescent="0.2">
      <c r="B265" s="44" t="s">
        <v>458</v>
      </c>
      <c r="C265" s="152"/>
      <c r="D265" s="81" t="s">
        <v>5</v>
      </c>
      <c r="G265" s="33"/>
      <c r="H265" s="81"/>
      <c r="I265" s="51"/>
      <c r="J265" s="51"/>
      <c r="K265" s="33"/>
      <c r="L265" s="33"/>
      <c r="M265" s="81"/>
      <c r="N265" s="81"/>
      <c r="O265" s="251"/>
      <c r="P265" s="51"/>
      <c r="Q265" s="50"/>
      <c r="R265" s="35" t="s">
        <v>318</v>
      </c>
      <c r="S265" s="35"/>
      <c r="T265" s="35"/>
      <c r="U265" s="35"/>
      <c r="V265" s="35"/>
      <c r="W265" s="35"/>
      <c r="X265" s="35"/>
      <c r="Y265" s="35"/>
      <c r="Z265" s="35"/>
      <c r="AA265" s="35"/>
      <c r="AB265" s="35"/>
      <c r="AC265" s="35"/>
      <c r="AD265" s="35"/>
      <c r="AE265" s="35"/>
      <c r="AF265" s="35"/>
      <c r="AG265" s="35"/>
      <c r="AH265" s="104"/>
      <c r="AI265" s="35"/>
      <c r="AJ265" s="35"/>
      <c r="AK265" s="36"/>
      <c r="AL265" s="36"/>
      <c r="AM265" s="36"/>
      <c r="AN265" s="36"/>
      <c r="AO265" s="36"/>
      <c r="AP265" s="36"/>
      <c r="AQ265" s="36"/>
      <c r="AR265" s="36"/>
      <c r="AS265" s="36"/>
      <c r="AT265" s="36"/>
      <c r="AU265" s="36"/>
      <c r="AV265" s="36"/>
      <c r="AW265" s="36"/>
      <c r="AX265" s="36"/>
      <c r="AY265" s="36"/>
      <c r="AZ265" s="36"/>
      <c r="BA265" s="36"/>
      <c r="BB265" s="36"/>
    </row>
    <row r="266" spans="1:56" s="30" customFormat="1" ht="15" x14ac:dyDescent="0.2">
      <c r="B266" s="151" t="s">
        <v>393</v>
      </c>
      <c r="C266" s="33"/>
      <c r="D266" s="81"/>
      <c r="G266" s="33"/>
      <c r="H266" s="81"/>
      <c r="J266" s="32"/>
      <c r="K266" s="37" t="s">
        <v>297</v>
      </c>
      <c r="L266" s="37" t="s">
        <v>185</v>
      </c>
      <c r="M266" s="81"/>
      <c r="N266" s="81"/>
      <c r="O266" s="251"/>
      <c r="P266" s="33"/>
      <c r="Q266" s="34"/>
      <c r="R266" s="35" t="s">
        <v>160</v>
      </c>
      <c r="S266" s="35"/>
      <c r="T266" s="35" t="s">
        <v>400</v>
      </c>
      <c r="U266" s="35" t="s">
        <v>399</v>
      </c>
      <c r="V266" s="35" t="s">
        <v>397</v>
      </c>
      <c r="W266" s="35" t="s">
        <v>398</v>
      </c>
      <c r="X266" s="35" t="s">
        <v>401</v>
      </c>
      <c r="Y266" s="35" t="s">
        <v>403</v>
      </c>
      <c r="Z266" s="35" t="s">
        <v>402</v>
      </c>
      <c r="AA266" s="35" t="s">
        <v>186</v>
      </c>
      <c r="AB266" s="35" t="s">
        <v>345</v>
      </c>
      <c r="AC266" s="35" t="s">
        <v>404</v>
      </c>
      <c r="AD266" s="35" t="s">
        <v>346</v>
      </c>
      <c r="AE266" s="35" t="s">
        <v>405</v>
      </c>
      <c r="AF266" s="35" t="s">
        <v>406</v>
      </c>
      <c r="AG266" s="35" t="s">
        <v>578</v>
      </c>
      <c r="AH266" s="104"/>
      <c r="AI266" s="35"/>
      <c r="AJ266" s="35"/>
      <c r="AK266" s="36"/>
      <c r="AL266" s="36"/>
      <c r="AM266" s="36"/>
      <c r="AN266" s="36"/>
      <c r="AO266" s="36"/>
      <c r="AP266" s="36"/>
      <c r="AQ266" s="36"/>
      <c r="AR266" s="36"/>
      <c r="AS266" s="36"/>
      <c r="AT266" s="36"/>
      <c r="AU266" s="36"/>
      <c r="AV266" s="36"/>
      <c r="AW266" s="36"/>
      <c r="AX266" s="36"/>
      <c r="AY266" s="36"/>
      <c r="AZ266" s="36"/>
      <c r="BA266" s="36"/>
      <c r="BB266" s="36"/>
    </row>
    <row r="267" spans="1:56" s="30" customFormat="1" ht="30" x14ac:dyDescent="0.2">
      <c r="B267" s="166" t="s">
        <v>455</v>
      </c>
      <c r="C267" s="471" t="s">
        <v>298</v>
      </c>
      <c r="D267" s="472"/>
      <c r="E267" s="472"/>
      <c r="F267" s="472"/>
      <c r="G267" s="473"/>
      <c r="J267" s="169" t="s">
        <v>395</v>
      </c>
      <c r="K267" s="92" t="str">
        <f>IFERROR(IF(ISNUMBER(L267),L267,(VLOOKUP(C267,Kalusto!$C$45:$G$84,5,FALSE)*(VLOOKUP(C268,Muut!$D$40:$E$43,2,FALSE)))),"--")</f>
        <v>--</v>
      </c>
      <c r="L267" s="39"/>
      <c r="M267" s="40" t="s">
        <v>184</v>
      </c>
      <c r="N267" s="40"/>
      <c r="O267" s="250"/>
      <c r="Q267" s="45"/>
      <c r="R267" s="48" t="str">
        <f>IF(AND(NOT(ISNUMBER(AB267)),NOT(ISNUMBER(AG267))),"",IF(ISNUMBER(AB267),AB267,0)+IF(ISNUMBER(AG267),AG267,0))</f>
        <v/>
      </c>
      <c r="S267" s="98" t="s">
        <v>438</v>
      </c>
      <c r="T267" s="46" t="str">
        <f>IFERROR(IF(ISNUMBER(L267),"Kohdetieto",VLOOKUP(C267,Kalusto!$C$45:$L$84,7,FALSE)),"--")</f>
        <v>--</v>
      </c>
      <c r="U267" s="46" t="str">
        <f>IFERROR(IF(ISNUMBER(L267),"Kohdetieto",VLOOKUP(C267,Kalusto!$C$45:$L$84,8,FALSE)),"--")</f>
        <v>--</v>
      </c>
      <c r="V267" s="47" t="str">
        <f>IFERROR(IF(ISNUMBER(L267),"Kohdetieto",VLOOKUP(C267,Kalusto!$C$45:$L$84,9,FALSE)),"--")</f>
        <v>--</v>
      </c>
      <c r="W267" s="47" t="str">
        <f>IFERROR(IF(ISNUMBER(L267),"Kohdetieto",VLOOKUP(C267,Kalusto!$C$45:$L$84,10,FALSE)),"--")</f>
        <v>--</v>
      </c>
      <c r="X267" s="48" t="str">
        <f>IF(ISBLANK(C269),"",C269)</f>
        <v/>
      </c>
      <c r="Y267" s="46" t="str">
        <f>IF(ISNUMBER(C270),C270,"")</f>
        <v/>
      </c>
      <c r="Z267" s="48" t="str">
        <f>IF(ISNUMBER(X267/(U267*V267)*Y267),X267/(U267*V267)*Y267,"")</f>
        <v/>
      </c>
      <c r="AA267" s="49" t="str">
        <f>IF(ISNUMBER(L267),L267,K267)</f>
        <v>--</v>
      </c>
      <c r="AB267" s="48" t="str">
        <f>IF(ISNUMBER(Y267*X267*K267),Y267*X267*K267,"")</f>
        <v/>
      </c>
      <c r="AC267" s="48" t="str">
        <f>IF(C$277="Kyllä",Y267,"")</f>
        <v/>
      </c>
      <c r="AD267" s="48" t="str">
        <f>IF(C$277="Kyllä",IF(ISNUMBER(X267/(U267*V267)),CEILING(X267/(U267*V267),1),""),"")</f>
        <v/>
      </c>
      <c r="AE267" s="48" t="str">
        <f>IF(ISNUMBER(AD267*AC267),AD267*AC267,"")</f>
        <v/>
      </c>
      <c r="AF267" s="49" t="str">
        <f>IF(ISNUMBER(L269),L269,K269)</f>
        <v>--</v>
      </c>
      <c r="AG267" s="48" t="str">
        <f>IF(ISNUMBER(AC267*AD267*K269),AC267*AD267*K269,"")</f>
        <v/>
      </c>
      <c r="AH267" s="104"/>
      <c r="AI267" s="35"/>
      <c r="AJ267" s="35"/>
      <c r="AK267" s="36"/>
      <c r="AL267" s="36"/>
      <c r="AM267" s="36"/>
      <c r="AN267" s="36"/>
      <c r="AO267" s="36"/>
      <c r="AP267" s="36"/>
      <c r="AQ267" s="36"/>
      <c r="AR267" s="36"/>
      <c r="AS267" s="36"/>
      <c r="AT267" s="36"/>
      <c r="AU267" s="36"/>
      <c r="AV267" s="36"/>
      <c r="AW267" s="36"/>
      <c r="AX267" s="36"/>
      <c r="AY267" s="36"/>
      <c r="AZ267" s="36"/>
      <c r="BA267" s="36"/>
      <c r="BB267" s="36"/>
    </row>
    <row r="268" spans="1:56" s="30" customFormat="1" ht="15" x14ac:dyDescent="0.2">
      <c r="B268" s="182" t="s">
        <v>457</v>
      </c>
      <c r="C268" s="156" t="s">
        <v>309</v>
      </c>
      <c r="D268" s="33"/>
      <c r="E268" s="33"/>
      <c r="F268" s="33"/>
      <c r="G268" s="33"/>
      <c r="H268" s="57"/>
      <c r="J268" s="169"/>
      <c r="K268" s="169"/>
      <c r="L268" s="169"/>
      <c r="M268" s="40"/>
      <c r="N268" s="40"/>
      <c r="O268" s="250"/>
      <c r="Q268" s="45"/>
      <c r="R268" s="35"/>
      <c r="S268" s="35"/>
      <c r="T268" s="35"/>
      <c r="U268" s="35"/>
      <c r="V268" s="177"/>
      <c r="W268" s="177"/>
      <c r="X268" s="59"/>
      <c r="Y268" s="35"/>
      <c r="Z268" s="59"/>
      <c r="AA268" s="178"/>
      <c r="AB268" s="59"/>
      <c r="AC268" s="59"/>
      <c r="AD268" s="59"/>
      <c r="AE268" s="59"/>
      <c r="AF268" s="178"/>
      <c r="AG268" s="59"/>
      <c r="AH268" s="104"/>
      <c r="AI268" s="35"/>
      <c r="AJ268" s="35"/>
      <c r="AK268" s="36"/>
      <c r="AL268" s="36"/>
      <c r="AM268" s="36"/>
      <c r="AN268" s="36"/>
      <c r="AO268" s="36"/>
      <c r="AP268" s="36"/>
      <c r="AQ268" s="36"/>
      <c r="AR268" s="36"/>
      <c r="AS268" s="36"/>
      <c r="AT268" s="36"/>
      <c r="AU268" s="36"/>
      <c r="AV268" s="36"/>
      <c r="AW268" s="36"/>
      <c r="AX268" s="36"/>
      <c r="AY268" s="36"/>
      <c r="AZ268" s="36"/>
      <c r="BA268" s="36"/>
      <c r="BB268" s="36"/>
    </row>
    <row r="269" spans="1:56" s="30" customFormat="1" ht="15" x14ac:dyDescent="0.2">
      <c r="B269" s="44" t="s">
        <v>456</v>
      </c>
      <c r="C269" s="153"/>
      <c r="D269" s="81" t="s">
        <v>52</v>
      </c>
      <c r="G269" s="33"/>
      <c r="H269" s="81"/>
      <c r="J269" s="32" t="s">
        <v>396</v>
      </c>
      <c r="K269" s="92" t="str">
        <f>IFERROR(IF(ISNUMBER(L269),L269,IF($C$277="Ei","",VLOOKUP(C267,Kalusto!$C$45:$U$84,19,FALSE)*VLOOKUP(C268,Muut!$D$40:$E$43,2,FALSE))),"--")</f>
        <v>--</v>
      </c>
      <c r="L269" s="39"/>
      <c r="M269" s="40" t="s">
        <v>188</v>
      </c>
      <c r="N269" s="40"/>
      <c r="O269" s="250"/>
      <c r="P269" s="33"/>
      <c r="Q269" s="50"/>
      <c r="R269" s="48" t="str">
        <f>IF(ISNUMBER(R267),R267,"")</f>
        <v/>
      </c>
      <c r="S269" s="98" t="s">
        <v>439</v>
      </c>
      <c r="T269" s="35"/>
      <c r="U269" s="35"/>
      <c r="V269" s="35"/>
      <c r="W269" s="35"/>
      <c r="X269" s="35"/>
      <c r="Y269" s="35"/>
      <c r="Z269" s="35"/>
      <c r="AA269" s="35"/>
      <c r="AB269" s="35"/>
      <c r="AC269" s="35"/>
      <c r="AD269" s="35"/>
      <c r="AE269" s="35"/>
      <c r="AF269" s="35"/>
      <c r="AG269" s="35"/>
      <c r="AH269" s="104"/>
      <c r="AI269" s="35"/>
      <c r="AJ269" s="35"/>
      <c r="AK269" s="36"/>
      <c r="AL269" s="36"/>
      <c r="AM269" s="36"/>
      <c r="AN269" s="36"/>
      <c r="AO269" s="36"/>
      <c r="AP269" s="36"/>
      <c r="AQ269" s="36"/>
      <c r="AR269" s="36"/>
      <c r="AS269" s="36"/>
      <c r="AT269" s="36"/>
      <c r="AU269" s="36"/>
      <c r="AV269" s="36"/>
      <c r="AW269" s="36"/>
      <c r="AX269" s="36"/>
      <c r="AY269" s="36"/>
      <c r="AZ269" s="36"/>
      <c r="BA269" s="36"/>
      <c r="BB269" s="36"/>
    </row>
    <row r="270" spans="1:56" s="30" customFormat="1" ht="15" x14ac:dyDescent="0.2">
      <c r="B270" s="44" t="s">
        <v>458</v>
      </c>
      <c r="C270" s="154"/>
      <c r="D270" s="81" t="s">
        <v>5</v>
      </c>
      <c r="G270" s="33"/>
      <c r="H270" s="81"/>
      <c r="I270" s="51"/>
      <c r="J270" s="51"/>
      <c r="K270" s="33"/>
      <c r="L270" s="33"/>
      <c r="M270" s="81"/>
      <c r="N270" s="81"/>
      <c r="O270" s="251"/>
      <c r="P270" s="51"/>
      <c r="Q270" s="50"/>
      <c r="R270" s="35" t="s">
        <v>318</v>
      </c>
      <c r="S270" s="35"/>
      <c r="T270" s="35"/>
      <c r="U270" s="35"/>
      <c r="V270" s="35"/>
      <c r="W270" s="35"/>
      <c r="X270" s="35"/>
      <c r="Y270" s="35"/>
      <c r="Z270" s="35"/>
      <c r="AA270" s="35"/>
      <c r="AB270" s="35"/>
      <c r="AC270" s="35"/>
      <c r="AD270" s="35"/>
      <c r="AE270" s="35"/>
      <c r="AF270" s="35"/>
      <c r="AG270" s="35"/>
      <c r="AH270" s="104"/>
      <c r="AI270" s="35"/>
      <c r="AJ270" s="35"/>
      <c r="AK270" s="36"/>
      <c r="AL270" s="36"/>
      <c r="AM270" s="36"/>
      <c r="AN270" s="36"/>
      <c r="AO270" s="36"/>
      <c r="AP270" s="36"/>
      <c r="AQ270" s="36"/>
      <c r="AR270" s="36"/>
      <c r="AS270" s="36"/>
      <c r="AT270" s="36"/>
      <c r="AU270" s="36"/>
      <c r="AV270" s="36"/>
      <c r="AW270" s="36"/>
      <c r="AX270" s="36"/>
      <c r="AY270" s="36"/>
      <c r="AZ270" s="36"/>
      <c r="BA270" s="36"/>
      <c r="BB270" s="36"/>
    </row>
    <row r="271" spans="1:56" s="30" customFormat="1" ht="15" x14ac:dyDescent="0.2">
      <c r="B271" s="151" t="s">
        <v>394</v>
      </c>
      <c r="C271" s="33"/>
      <c r="D271" s="81"/>
      <c r="G271" s="33"/>
      <c r="H271" s="81"/>
      <c r="J271" s="32"/>
      <c r="K271" s="37" t="s">
        <v>297</v>
      </c>
      <c r="L271" s="37" t="s">
        <v>185</v>
      </c>
      <c r="M271" s="81"/>
      <c r="N271" s="81"/>
      <c r="O271" s="251"/>
      <c r="P271" s="33"/>
      <c r="Q271" s="34"/>
      <c r="R271" s="35" t="s">
        <v>160</v>
      </c>
      <c r="S271" s="35"/>
      <c r="T271" s="35" t="s">
        <v>400</v>
      </c>
      <c r="U271" s="35" t="s">
        <v>399</v>
      </c>
      <c r="V271" s="35" t="s">
        <v>397</v>
      </c>
      <c r="W271" s="35" t="s">
        <v>398</v>
      </c>
      <c r="X271" s="35" t="s">
        <v>401</v>
      </c>
      <c r="Y271" s="35" t="s">
        <v>403</v>
      </c>
      <c r="Z271" s="35" t="s">
        <v>402</v>
      </c>
      <c r="AA271" s="35" t="s">
        <v>186</v>
      </c>
      <c r="AB271" s="35" t="s">
        <v>345</v>
      </c>
      <c r="AC271" s="35" t="s">
        <v>404</v>
      </c>
      <c r="AD271" s="35" t="s">
        <v>346</v>
      </c>
      <c r="AE271" s="35" t="s">
        <v>405</v>
      </c>
      <c r="AF271" s="35" t="s">
        <v>406</v>
      </c>
      <c r="AG271" s="35" t="s">
        <v>578</v>
      </c>
      <c r="AH271" s="104"/>
      <c r="AI271" s="35"/>
      <c r="AJ271" s="35"/>
      <c r="AK271" s="36"/>
      <c r="AL271" s="36"/>
      <c r="AM271" s="36"/>
      <c r="AN271" s="36"/>
      <c r="AO271" s="36"/>
      <c r="AP271" s="36"/>
      <c r="AQ271" s="36"/>
      <c r="AR271" s="36"/>
      <c r="AS271" s="36"/>
      <c r="AT271" s="36"/>
      <c r="AU271" s="36"/>
      <c r="AV271" s="36"/>
      <c r="AW271" s="36"/>
      <c r="AX271" s="36"/>
      <c r="AY271" s="36"/>
      <c r="AZ271" s="36"/>
      <c r="BA271" s="36"/>
      <c r="BB271" s="36"/>
    </row>
    <row r="272" spans="1:56" s="30" customFormat="1" ht="30" x14ac:dyDescent="0.2">
      <c r="B272" s="166" t="s">
        <v>455</v>
      </c>
      <c r="C272" s="471" t="s">
        <v>298</v>
      </c>
      <c r="D272" s="472"/>
      <c r="E272" s="472"/>
      <c r="F272" s="472"/>
      <c r="G272" s="473"/>
      <c r="J272" s="169" t="s">
        <v>395</v>
      </c>
      <c r="K272" s="92" t="str">
        <f>IFERROR(IF(ISNUMBER(L272),L272,(VLOOKUP(C272,Kalusto!$C$45:$G$84,5,FALSE)*(VLOOKUP(C273,Muut!$D$40:$E$43,2,FALSE)))),"--")</f>
        <v>--</v>
      </c>
      <c r="L272" s="39"/>
      <c r="M272" s="40" t="s">
        <v>184</v>
      </c>
      <c r="N272" s="40"/>
      <c r="O272" s="250"/>
      <c r="Q272" s="45"/>
      <c r="R272" s="48" t="str">
        <f>IF(AND(NOT(ISNUMBER(AB272)),NOT(ISNUMBER(AG272))),"",IF(ISNUMBER(AB272),AB272,0)+IF(ISNUMBER(AG272),AG272,0))</f>
        <v/>
      </c>
      <c r="S272" s="98" t="s">
        <v>438</v>
      </c>
      <c r="T272" s="46" t="str">
        <f>IFERROR(IF(ISNUMBER(L272),"Kohdetieto",VLOOKUP(C272,Kalusto!$C$45:$L$84,7,FALSE)),"--")</f>
        <v>--</v>
      </c>
      <c r="U272" s="46" t="str">
        <f>IFERROR(IF(ISNUMBER(L272),"Kohdetieto",VLOOKUP(C272,Kalusto!$C$45:$L$84,8,FALSE)),"--")</f>
        <v>--</v>
      </c>
      <c r="V272" s="47" t="str">
        <f>IFERROR(IF(ISNUMBER(L272),"Kohdetieto",VLOOKUP(C272,Kalusto!$C$45:$L$84,9,FALSE)),"--")</f>
        <v>--</v>
      </c>
      <c r="W272" s="47" t="str">
        <f>IFERROR(IF(ISNUMBER(L272),"Kohdetieto",VLOOKUP(C272,Kalusto!$C$45:$L$84,10,FALSE)),"--")</f>
        <v>--</v>
      </c>
      <c r="X272" s="48" t="str">
        <f>IF(ISBLANK(C274),"",C274)</f>
        <v/>
      </c>
      <c r="Y272" s="46" t="str">
        <f>IF(ISNUMBER(C275),C275,"")</f>
        <v/>
      </c>
      <c r="Z272" s="48" t="str">
        <f>IF(ISNUMBER(X272/(U272*V272)*Y272),X272/(U272*V272)*Y272,"")</f>
        <v/>
      </c>
      <c r="AA272" s="49" t="str">
        <f>IF(ISNUMBER(L272),L272,K272)</f>
        <v>--</v>
      </c>
      <c r="AB272" s="48" t="str">
        <f>IF(ISNUMBER(Y272*X272*K272),Y272*X272*K272,"")</f>
        <v/>
      </c>
      <c r="AC272" s="48" t="str">
        <f>IF(C$277="Kyllä",Y272,"")</f>
        <v/>
      </c>
      <c r="AD272" s="48" t="str">
        <f>IF(C$277="Kyllä",IF(ISNUMBER(X272/(U272*V272)),CEILING(X272/(U272*V272),1),""),"")</f>
        <v/>
      </c>
      <c r="AE272" s="48" t="str">
        <f>IF(ISNUMBER(AD272*AC272),AD272*AC272,"")</f>
        <v/>
      </c>
      <c r="AF272" s="49" t="str">
        <f>IF(ISNUMBER(L274),L274,K274)</f>
        <v>--</v>
      </c>
      <c r="AG272" s="48" t="str">
        <f>IF(ISNUMBER(AC272*AD272*K274),AC272*AD272*K274,"")</f>
        <v/>
      </c>
      <c r="AH272" s="104"/>
      <c r="AI272" s="35"/>
      <c r="AJ272" s="35"/>
      <c r="AK272" s="36"/>
      <c r="AL272" s="36"/>
      <c r="AM272" s="36"/>
      <c r="AN272" s="36"/>
      <c r="AO272" s="36"/>
      <c r="AP272" s="36"/>
      <c r="AQ272" s="36"/>
      <c r="AR272" s="36"/>
      <c r="AS272" s="36"/>
      <c r="AT272" s="36"/>
      <c r="AU272" s="36"/>
      <c r="AV272" s="36"/>
      <c r="AW272" s="36"/>
      <c r="AX272" s="36"/>
      <c r="AY272" s="36"/>
      <c r="AZ272" s="36"/>
      <c r="BA272" s="36"/>
      <c r="BB272" s="36"/>
    </row>
    <row r="273" spans="1:54" s="30" customFormat="1" ht="15" x14ac:dyDescent="0.2">
      <c r="B273" s="182" t="s">
        <v>457</v>
      </c>
      <c r="C273" s="156" t="s">
        <v>309</v>
      </c>
      <c r="D273" s="33"/>
      <c r="E273" s="33"/>
      <c r="F273" s="33"/>
      <c r="G273" s="33"/>
      <c r="H273" s="57"/>
      <c r="J273" s="169"/>
      <c r="K273" s="169"/>
      <c r="L273" s="169"/>
      <c r="M273" s="40"/>
      <c r="N273" s="40"/>
      <c r="O273" s="250"/>
      <c r="Q273" s="45"/>
      <c r="R273" s="35"/>
      <c r="S273" s="35"/>
      <c r="T273" s="35"/>
      <c r="U273" s="35"/>
      <c r="V273" s="177"/>
      <c r="W273" s="177"/>
      <c r="X273" s="59"/>
      <c r="Y273" s="35"/>
      <c r="Z273" s="59"/>
      <c r="AA273" s="178"/>
      <c r="AB273" s="59"/>
      <c r="AC273" s="59"/>
      <c r="AD273" s="59"/>
      <c r="AE273" s="59"/>
      <c r="AF273" s="178"/>
      <c r="AG273" s="59"/>
      <c r="AH273" s="104"/>
      <c r="AI273" s="35"/>
      <c r="AJ273" s="35"/>
      <c r="AK273" s="36"/>
      <c r="AL273" s="36"/>
      <c r="AM273" s="36"/>
      <c r="AN273" s="36"/>
      <c r="AO273" s="36"/>
      <c r="AP273" s="36"/>
      <c r="AQ273" s="36"/>
      <c r="AR273" s="36"/>
      <c r="AS273" s="36"/>
      <c r="AT273" s="36"/>
      <c r="AU273" s="36"/>
      <c r="AV273" s="36"/>
      <c r="AW273" s="36"/>
      <c r="AX273" s="36"/>
      <c r="AY273" s="36"/>
      <c r="AZ273" s="36"/>
      <c r="BA273" s="36"/>
      <c r="BB273" s="36"/>
    </row>
    <row r="274" spans="1:54" s="30" customFormat="1" ht="15" x14ac:dyDescent="0.2">
      <c r="B274" s="44" t="s">
        <v>456</v>
      </c>
      <c r="C274" s="152"/>
      <c r="D274" s="81" t="s">
        <v>52</v>
      </c>
      <c r="G274" s="33"/>
      <c r="H274" s="81"/>
      <c r="J274" s="32" t="s">
        <v>396</v>
      </c>
      <c r="K274" s="92" t="str">
        <f>IFERROR(IF(ISNUMBER(L274),L274,IF($C$277="Ei","",VLOOKUP(C272,Kalusto!$C$45:$U$84,19,FALSE)*VLOOKUP(C273,Muut!$D$40:$E$43,2,FALSE))),"--")</f>
        <v>--</v>
      </c>
      <c r="L274" s="39"/>
      <c r="M274" s="40" t="s">
        <v>188</v>
      </c>
      <c r="N274" s="40"/>
      <c r="O274" s="250"/>
      <c r="P274" s="33"/>
      <c r="Q274" s="50"/>
      <c r="R274" s="48" t="str">
        <f>IF(ISNUMBER(R272),R272,"")</f>
        <v/>
      </c>
      <c r="S274" s="98" t="s">
        <v>439</v>
      </c>
      <c r="T274" s="35"/>
      <c r="U274" s="35"/>
      <c r="V274" s="35"/>
      <c r="W274" s="35"/>
      <c r="X274" s="35"/>
      <c r="Y274" s="35"/>
      <c r="Z274" s="35"/>
      <c r="AA274" s="35"/>
      <c r="AB274" s="35"/>
      <c r="AC274" s="35"/>
      <c r="AD274" s="35"/>
      <c r="AE274" s="35"/>
      <c r="AF274" s="35"/>
      <c r="AG274" s="35"/>
      <c r="AH274" s="35"/>
      <c r="AI274" s="35"/>
      <c r="AJ274" s="35"/>
      <c r="AK274" s="36"/>
      <c r="AL274" s="36"/>
      <c r="AM274" s="36"/>
      <c r="AN274" s="36"/>
      <c r="AO274" s="36"/>
      <c r="AP274" s="36"/>
      <c r="AQ274" s="36"/>
      <c r="AR274" s="36"/>
      <c r="AS274" s="36"/>
      <c r="AT274" s="36"/>
      <c r="AU274" s="36"/>
      <c r="AV274" s="36"/>
      <c r="AW274" s="36"/>
      <c r="AX274" s="36"/>
      <c r="AY274" s="36"/>
      <c r="AZ274" s="36"/>
      <c r="BA274" s="36"/>
      <c r="BB274" s="36"/>
    </row>
    <row r="275" spans="1:54" s="30" customFormat="1" ht="15" x14ac:dyDescent="0.2">
      <c r="B275" s="44" t="s">
        <v>458</v>
      </c>
      <c r="C275" s="152"/>
      <c r="D275" s="81" t="s">
        <v>5</v>
      </c>
      <c r="G275" s="33"/>
      <c r="H275" s="81"/>
      <c r="I275" s="51"/>
      <c r="J275" s="51"/>
      <c r="K275" s="33"/>
      <c r="L275" s="33"/>
      <c r="M275" s="81"/>
      <c r="N275" s="81"/>
      <c r="O275" s="251"/>
      <c r="P275" s="51"/>
      <c r="Q275" s="50"/>
      <c r="R275" s="35"/>
      <c r="S275" s="35"/>
      <c r="T275" s="35"/>
      <c r="U275" s="35"/>
      <c r="V275" s="35"/>
      <c r="W275" s="35"/>
      <c r="X275" s="35"/>
      <c r="Y275" s="35"/>
      <c r="Z275" s="35"/>
      <c r="AA275" s="35"/>
      <c r="AB275" s="35"/>
      <c r="AC275" s="35"/>
      <c r="AD275" s="35"/>
      <c r="AE275" s="35"/>
      <c r="AF275" s="35"/>
      <c r="AG275" s="35"/>
      <c r="AH275" s="35"/>
      <c r="AI275" s="35"/>
      <c r="AJ275" s="35"/>
      <c r="AK275" s="36"/>
      <c r="AL275" s="36"/>
      <c r="AM275" s="36"/>
      <c r="AN275" s="36"/>
      <c r="AO275" s="36"/>
      <c r="AP275" s="36"/>
      <c r="AQ275" s="36"/>
      <c r="AR275" s="36"/>
      <c r="AS275" s="36"/>
      <c r="AT275" s="36"/>
      <c r="AU275" s="36"/>
      <c r="AV275" s="36"/>
      <c r="AW275" s="36"/>
      <c r="AX275" s="36"/>
      <c r="AY275" s="36"/>
      <c r="AZ275" s="36"/>
      <c r="BA275" s="36"/>
      <c r="BB275" s="36"/>
    </row>
    <row r="276" spans="1:54" s="30" customFormat="1" ht="15" x14ac:dyDescent="0.2">
      <c r="C276" s="33"/>
      <c r="D276" s="81"/>
      <c r="G276" s="33"/>
      <c r="H276" s="81"/>
      <c r="J276" s="32"/>
      <c r="K276" s="33"/>
      <c r="L276" s="33"/>
      <c r="M276" s="81"/>
      <c r="N276" s="81"/>
      <c r="O276" s="251"/>
      <c r="Q276" s="34"/>
      <c r="R276" s="35"/>
      <c r="S276" s="35"/>
      <c r="T276" s="35"/>
      <c r="U276" s="35"/>
      <c r="V276" s="35"/>
      <c r="W276" s="35"/>
      <c r="X276" s="35"/>
      <c r="Y276" s="35"/>
      <c r="Z276" s="35"/>
      <c r="AA276" s="35"/>
      <c r="AB276" s="35"/>
      <c r="AC276" s="35"/>
      <c r="AD276" s="35"/>
      <c r="AE276" s="35"/>
      <c r="AF276" s="35"/>
      <c r="AG276" s="35"/>
      <c r="AH276" s="35"/>
      <c r="AI276" s="35"/>
      <c r="AJ276" s="35"/>
      <c r="AK276" s="36"/>
      <c r="AL276" s="36"/>
      <c r="AM276" s="36"/>
      <c r="AN276" s="36"/>
      <c r="AO276" s="36"/>
      <c r="AP276" s="36"/>
      <c r="AQ276" s="36"/>
      <c r="AR276" s="36"/>
      <c r="AS276" s="36"/>
      <c r="AT276" s="36"/>
      <c r="AU276" s="36"/>
      <c r="AV276" s="36"/>
      <c r="AW276" s="36"/>
      <c r="AX276" s="36"/>
      <c r="AY276" s="36"/>
      <c r="AZ276" s="36"/>
      <c r="BA276" s="36"/>
      <c r="BB276" s="36"/>
    </row>
    <row r="277" spans="1:54" s="30" customFormat="1" ht="45" x14ac:dyDescent="0.2">
      <c r="B277" s="76" t="s">
        <v>606</v>
      </c>
      <c r="C277" s="471" t="s">
        <v>6</v>
      </c>
      <c r="D277" s="473"/>
      <c r="E277" s="80">
        <f>A277</f>
        <v>0</v>
      </c>
      <c r="G277" s="80" t="str">
        <f>C277</f>
        <v>Kyllä</v>
      </c>
      <c r="H277" s="81"/>
      <c r="J277" s="32"/>
      <c r="K277" s="33"/>
      <c r="L277" s="33"/>
      <c r="M277" s="81"/>
      <c r="N277" s="81"/>
      <c r="O277" s="251"/>
      <c r="Q277" s="34"/>
      <c r="R277" s="95"/>
      <c r="S277" s="35"/>
      <c r="T277" s="35"/>
      <c r="U277" s="35"/>
      <c r="V277" s="35"/>
      <c r="W277" s="35"/>
      <c r="X277" s="35"/>
      <c r="Y277" s="35"/>
      <c r="Z277" s="35"/>
      <c r="AA277" s="35"/>
      <c r="AB277" s="35"/>
      <c r="AC277" s="35"/>
      <c r="AD277" s="35"/>
      <c r="AE277" s="35"/>
      <c r="AF277" s="35"/>
      <c r="AG277" s="35"/>
      <c r="AH277" s="35"/>
      <c r="AI277" s="35"/>
      <c r="AJ277" s="35"/>
      <c r="AK277" s="36"/>
      <c r="AL277" s="36"/>
      <c r="AM277" s="36"/>
      <c r="AN277" s="36"/>
      <c r="AO277" s="36"/>
      <c r="AP277" s="36"/>
      <c r="AQ277" s="36"/>
      <c r="AR277" s="36"/>
      <c r="AS277" s="36"/>
      <c r="AT277" s="36"/>
      <c r="AU277" s="36"/>
      <c r="AV277" s="36"/>
      <c r="AW277" s="36"/>
      <c r="AX277" s="36"/>
      <c r="AY277" s="36"/>
      <c r="AZ277" s="36"/>
      <c r="BA277" s="36"/>
      <c r="BB277" s="36"/>
    </row>
    <row r="278" spans="1:54" s="30" customFormat="1" ht="15" x14ac:dyDescent="0.2">
      <c r="C278" s="33"/>
      <c r="D278" s="81"/>
      <c r="G278" s="33"/>
      <c r="H278" s="81"/>
      <c r="K278" s="33"/>
      <c r="L278" s="33"/>
      <c r="M278" s="81"/>
      <c r="N278" s="81"/>
      <c r="O278" s="249"/>
      <c r="Q278" s="34"/>
      <c r="R278" s="95"/>
      <c r="S278" s="35"/>
      <c r="T278" s="35"/>
      <c r="U278" s="35"/>
      <c r="V278" s="35"/>
      <c r="W278" s="35"/>
      <c r="X278" s="35"/>
      <c r="Y278" s="35"/>
      <c r="Z278" s="35"/>
      <c r="AA278" s="35"/>
      <c r="AB278" s="35"/>
      <c r="AC278" s="35"/>
      <c r="AD278" s="35"/>
      <c r="AE278" s="35"/>
      <c r="AF278" s="35"/>
      <c r="AG278" s="35"/>
      <c r="AH278" s="35"/>
      <c r="AI278" s="35"/>
      <c r="AJ278" s="35"/>
      <c r="AK278" s="36"/>
      <c r="AL278" s="36"/>
      <c r="AM278" s="36"/>
      <c r="AN278" s="36"/>
      <c r="AO278" s="36"/>
      <c r="AP278" s="36"/>
      <c r="AQ278" s="36"/>
      <c r="AR278" s="36"/>
      <c r="AS278" s="36"/>
      <c r="AT278" s="36"/>
      <c r="AU278" s="36"/>
      <c r="AV278" s="36"/>
      <c r="AW278" s="36"/>
      <c r="AX278" s="36"/>
      <c r="AY278" s="36"/>
      <c r="AZ278" s="36"/>
      <c r="BA278" s="36"/>
      <c r="BB278" s="36"/>
    </row>
    <row r="279" spans="1:54" s="30" customFormat="1" ht="18" x14ac:dyDescent="0.2">
      <c r="A279" s="289"/>
      <c r="B279" s="286" t="s">
        <v>669</v>
      </c>
      <c r="C279" s="287"/>
      <c r="D279" s="288"/>
      <c r="E279" s="289"/>
      <c r="F279" s="289"/>
      <c r="G279" s="287"/>
      <c r="H279" s="288"/>
      <c r="I279" s="289"/>
      <c r="J279" s="289"/>
      <c r="K279" s="290"/>
      <c r="L279" s="290"/>
      <c r="M279" s="288"/>
      <c r="N279" s="288"/>
      <c r="O279" s="291"/>
      <c r="P279" s="289"/>
      <c r="Q279" s="292"/>
      <c r="R279" s="293"/>
      <c r="S279" s="294"/>
      <c r="T279" s="294"/>
      <c r="U279" s="294"/>
      <c r="V279" s="294"/>
      <c r="W279" s="294"/>
      <c r="X279" s="294"/>
      <c r="Y279" s="294"/>
      <c r="Z279" s="294"/>
      <c r="AA279" s="294"/>
      <c r="AB279" s="294"/>
      <c r="AC279" s="294"/>
      <c r="AD279" s="294"/>
      <c r="AE279" s="294"/>
      <c r="AF279" s="294"/>
      <c r="AG279" s="294"/>
      <c r="AH279" s="294"/>
      <c r="AI279" s="294"/>
      <c r="AJ279" s="294"/>
      <c r="AK279" s="295"/>
      <c r="AL279" s="295"/>
      <c r="AM279" s="295"/>
      <c r="AN279" s="295"/>
      <c r="AO279" s="295"/>
      <c r="AP279" s="295"/>
      <c r="AQ279" s="295"/>
      <c r="AR279" s="295"/>
      <c r="AS279" s="295"/>
      <c r="AT279" s="295"/>
      <c r="AU279" s="295"/>
      <c r="AV279" s="295"/>
      <c r="AW279" s="295"/>
      <c r="AX279" s="295"/>
      <c r="AY279" s="295"/>
      <c r="AZ279" s="295"/>
      <c r="BA279" s="295"/>
      <c r="BB279" s="295"/>
    </row>
    <row r="280" spans="1:54" s="30" customFormat="1" ht="15" x14ac:dyDescent="0.2">
      <c r="C280" s="33"/>
      <c r="D280" s="81"/>
      <c r="G280" s="33"/>
      <c r="H280" s="81"/>
      <c r="J280" s="32"/>
      <c r="K280" s="33"/>
      <c r="L280" s="33"/>
      <c r="M280" s="81"/>
      <c r="N280" s="81"/>
      <c r="O280" s="249" t="s">
        <v>584</v>
      </c>
      <c r="Q280" s="34"/>
      <c r="R280" s="95"/>
      <c r="S280" s="35"/>
      <c r="T280" s="35"/>
      <c r="U280" s="35"/>
      <c r="V280" s="35"/>
      <c r="W280" s="35"/>
      <c r="X280" s="35"/>
      <c r="Y280" s="35"/>
      <c r="Z280" s="35"/>
      <c r="AA280" s="35"/>
      <c r="AB280" s="35"/>
      <c r="AC280" s="35"/>
      <c r="AD280" s="35"/>
      <c r="AE280" s="35"/>
      <c r="AF280" s="35"/>
      <c r="AG280" s="35"/>
      <c r="AH280" s="35"/>
      <c r="AI280" s="35"/>
      <c r="AJ280" s="35"/>
      <c r="AK280" s="36"/>
      <c r="AL280" s="36"/>
      <c r="AM280" s="36"/>
      <c r="AN280" s="36"/>
      <c r="AO280" s="36"/>
      <c r="AP280" s="36"/>
      <c r="AQ280" s="36"/>
      <c r="AR280" s="36"/>
      <c r="AS280" s="36"/>
      <c r="AT280" s="36"/>
      <c r="AU280" s="36"/>
      <c r="AV280" s="36"/>
      <c r="AW280" s="36"/>
      <c r="AX280" s="36"/>
      <c r="AY280" s="36"/>
      <c r="AZ280" s="36"/>
      <c r="BA280" s="36"/>
      <c r="BB280" s="36"/>
    </row>
    <row r="281" spans="1:54" s="30" customFormat="1" ht="15" x14ac:dyDescent="0.2">
      <c r="B281" s="160" t="s">
        <v>303</v>
      </c>
      <c r="C281" s="33"/>
      <c r="D281" s="81"/>
      <c r="G281" s="33"/>
      <c r="H281" s="81"/>
      <c r="K281" s="37"/>
      <c r="L281" s="37"/>
      <c r="M281" s="81"/>
      <c r="N281" s="81"/>
      <c r="O281" s="250"/>
      <c r="Q281" s="34"/>
      <c r="R281" s="95"/>
      <c r="S281" s="35"/>
      <c r="T281" s="35"/>
      <c r="U281" s="35"/>
      <c r="V281" s="35"/>
      <c r="W281" s="35"/>
      <c r="X281" s="35"/>
      <c r="Y281" s="35"/>
      <c r="Z281" s="35"/>
      <c r="AA281" s="35"/>
      <c r="AB281" s="35"/>
      <c r="AC281" s="35"/>
      <c r="AD281" s="35"/>
      <c r="AE281" s="35"/>
      <c r="AF281" s="35"/>
      <c r="AG281" s="35"/>
      <c r="AH281" s="35"/>
      <c r="AI281" s="35"/>
      <c r="AJ281" s="35"/>
      <c r="AK281" s="36"/>
      <c r="AL281" s="36"/>
      <c r="AM281" s="36"/>
      <c r="AN281" s="36"/>
      <c r="AO281" s="36"/>
      <c r="AP281" s="36"/>
      <c r="AQ281" s="36"/>
      <c r="AR281" s="36"/>
      <c r="AS281" s="36"/>
      <c r="AT281" s="36"/>
      <c r="AU281" s="36"/>
      <c r="AV281" s="36"/>
      <c r="AW281" s="36"/>
      <c r="AX281" s="36"/>
      <c r="AY281" s="36"/>
      <c r="AZ281" s="36"/>
      <c r="BA281" s="36"/>
      <c r="BB281" s="36"/>
    </row>
    <row r="282" spans="1:54" s="30" customFormat="1" ht="45" x14ac:dyDescent="0.2">
      <c r="B282" s="76" t="s">
        <v>658</v>
      </c>
      <c r="C282" s="471" t="s">
        <v>110</v>
      </c>
      <c r="D282" s="473"/>
      <c r="E282" s="33"/>
      <c r="F282" s="33"/>
      <c r="G282" s="33"/>
      <c r="H282" s="81"/>
      <c r="K282" s="37" t="s">
        <v>297</v>
      </c>
      <c r="L282" s="37" t="s">
        <v>185</v>
      </c>
      <c r="M282" s="81" t="s">
        <v>287</v>
      </c>
      <c r="N282" s="81"/>
      <c r="O282" s="250"/>
      <c r="Q282" s="34"/>
      <c r="R282" s="35" t="s">
        <v>318</v>
      </c>
      <c r="S282" s="35"/>
      <c r="T282" s="104"/>
      <c r="U282" s="35"/>
      <c r="V282" s="35"/>
      <c r="W282" s="35"/>
      <c r="X282" s="35"/>
      <c r="Y282" s="35"/>
      <c r="Z282" s="35"/>
      <c r="AA282" s="35"/>
      <c r="AB282" s="35"/>
      <c r="AC282" s="35"/>
      <c r="AD282" s="35"/>
      <c r="AE282" s="35"/>
      <c r="AF282" s="35"/>
      <c r="AG282" s="35"/>
      <c r="AH282" s="35"/>
      <c r="AI282" s="35"/>
      <c r="AJ282" s="35"/>
      <c r="AK282" s="36"/>
      <c r="AL282" s="36"/>
      <c r="AM282" s="36"/>
      <c r="AN282" s="36"/>
      <c r="AO282" s="36"/>
      <c r="AP282" s="36"/>
      <c r="AQ282" s="36"/>
      <c r="AR282" s="36"/>
      <c r="AS282" s="36"/>
      <c r="AT282" s="36"/>
      <c r="AU282" s="36"/>
      <c r="AV282" s="36"/>
      <c r="AW282" s="36"/>
      <c r="AX282" s="36"/>
      <c r="AY282" s="36"/>
      <c r="AZ282" s="36"/>
      <c r="BA282" s="36"/>
      <c r="BB282" s="36"/>
    </row>
    <row r="283" spans="1:54" s="30" customFormat="1" ht="15" x14ac:dyDescent="0.2">
      <c r="B283" s="52" t="s">
        <v>331</v>
      </c>
      <c r="C283" s="386"/>
      <c r="D283" s="314" t="str">
        <f>IFERROR(VLOOKUP(C282,Materiaalit!$C$106:$D$124,2,FALSE),"Yksikkö")</f>
        <v>Yksikkö</v>
      </c>
      <c r="E283" s="33"/>
      <c r="F283" s="33"/>
      <c r="G283" s="33"/>
      <c r="H283" s="81"/>
      <c r="J283" s="32" t="s">
        <v>497</v>
      </c>
      <c r="K283" s="92" t="str">
        <f>IFERROR(IF(ISNUMBER(L283),L283,VLOOKUP(C282,Materiaalit!$C$106:$N$124,5,FALSE)),"--")</f>
        <v>--</v>
      </c>
      <c r="L283" s="39"/>
      <c r="M283" s="92" t="str">
        <f>IF(D283="Yksikkö","--","kgCO2e/" &amp;D283)</f>
        <v>--</v>
      </c>
      <c r="N283" s="41"/>
      <c r="O283" s="253"/>
      <c r="Q283" s="34"/>
      <c r="R283" s="48" t="str">
        <f>IF(NOT(AND(ISNUMBER(K283),ISNUMBER(C283))),"",C283*K283*IF(C282=Pudotusvalikot!$P$14,1,IF(C282=Pudotusvalikot!$P$15,Materiaalit!$M$106,IF(C282=Pudotusvalikot!$P$16,Materiaalit!$M$107,IF(C282=Pudotusvalikot!$P$17,Materiaalit!$M$108,IF(C282=Pudotusvalikot!$P$18,Materiaalit!$M$109,IF(C282=Pudotusvalikot!$P$19,Materiaalit!$M$110,IF(C282=Pudotusvalikot!$P$20,Materiaalit!$M$111,IF(C282=Pudotusvalikot!$P$21,Materiaalit!$M$112,IF(C282=Pudotusvalikot!$P$22,Materiaalit!$M$113,IF(C282=Pudotusvalikot!$P$23,Materiaalit!$M$114,IF(C282=Pudotusvalikot!$P$24,Materiaalit!$M$115,IF(C282=Pudotusvalikot!$P$25,Materiaalit!$M$116,IF(C282=Pudotusvalikot!$P$26,Materiaalit!$M$117,IF(C282=Pudotusvalikot!$P$27,Materiaalit!$M$118,IF(C282=Pudotusvalikot!$P$28,Materiaalit!$M$119,Materiaalit!$M$120))))))))))))))))</f>
        <v/>
      </c>
      <c r="S283" s="98" t="s">
        <v>160</v>
      </c>
      <c r="T283" s="104"/>
      <c r="U283" s="35"/>
      <c r="V283" s="35"/>
      <c r="W283" s="35"/>
      <c r="X283" s="35"/>
      <c r="Y283" s="35"/>
      <c r="Z283" s="35"/>
      <c r="AA283" s="35"/>
      <c r="AB283" s="35"/>
      <c r="AC283" s="35"/>
      <c r="AD283" s="35"/>
      <c r="AE283" s="35"/>
      <c r="AF283" s="35"/>
      <c r="AG283" s="35"/>
      <c r="AH283" s="35"/>
      <c r="AI283" s="35"/>
      <c r="AJ283" s="35"/>
      <c r="AK283" s="36"/>
      <c r="AL283" s="36"/>
      <c r="AM283" s="36"/>
      <c r="AN283" s="36"/>
      <c r="AO283" s="36"/>
      <c r="AP283" s="36"/>
      <c r="AQ283" s="36"/>
      <c r="AR283" s="36"/>
      <c r="AS283" s="36"/>
      <c r="AT283" s="36"/>
      <c r="AU283" s="36"/>
      <c r="AV283" s="36"/>
      <c r="AW283" s="36"/>
      <c r="AX283" s="36"/>
      <c r="AY283" s="36"/>
      <c r="AZ283" s="36"/>
      <c r="BA283" s="36"/>
      <c r="BB283" s="36"/>
    </row>
    <row r="284" spans="1:54" s="30" customFormat="1" ht="15" x14ac:dyDescent="0.2">
      <c r="B284" s="160" t="s">
        <v>304</v>
      </c>
      <c r="C284" s="33"/>
      <c r="D284" s="81"/>
      <c r="E284" s="33"/>
      <c r="G284" s="33"/>
      <c r="H284" s="81"/>
      <c r="J284" s="32"/>
      <c r="K284" s="37"/>
      <c r="L284" s="37"/>
      <c r="M284" s="37"/>
      <c r="N284" s="37"/>
      <c r="O284" s="254"/>
      <c r="Q284" s="34"/>
      <c r="R284" s="59"/>
      <c r="S284" s="35"/>
      <c r="T284" s="104"/>
      <c r="U284" s="35"/>
      <c r="V284" s="35"/>
      <c r="W284" s="35"/>
      <c r="X284" s="35"/>
      <c r="Y284" s="35"/>
      <c r="Z284" s="35"/>
      <c r="AA284" s="35"/>
      <c r="AB284" s="35"/>
      <c r="AC284" s="35"/>
      <c r="AD284" s="35"/>
      <c r="AE284" s="35"/>
      <c r="AF284" s="35"/>
      <c r="AG284" s="35"/>
      <c r="AH284" s="35"/>
      <c r="AI284" s="35"/>
      <c r="AJ284" s="35"/>
      <c r="AK284" s="36"/>
      <c r="AL284" s="36"/>
      <c r="AM284" s="36"/>
      <c r="AN284" s="36"/>
      <c r="AO284" s="36"/>
      <c r="AP284" s="36"/>
      <c r="AQ284" s="36"/>
      <c r="AR284" s="36"/>
      <c r="AS284" s="36"/>
      <c r="AT284" s="36"/>
      <c r="AU284" s="36"/>
      <c r="AV284" s="36"/>
      <c r="AW284" s="36"/>
      <c r="AX284" s="36"/>
      <c r="AY284" s="36"/>
      <c r="AZ284" s="36"/>
      <c r="BA284" s="36"/>
      <c r="BB284" s="36"/>
    </row>
    <row r="285" spans="1:54" s="30" customFormat="1" ht="45" x14ac:dyDescent="0.2">
      <c r="B285" s="76" t="s">
        <v>658</v>
      </c>
      <c r="C285" s="471" t="s">
        <v>110</v>
      </c>
      <c r="D285" s="473"/>
      <c r="E285" s="33"/>
      <c r="G285" s="33"/>
      <c r="H285" s="81"/>
      <c r="J285" s="32"/>
      <c r="K285" s="37" t="s">
        <v>297</v>
      </c>
      <c r="L285" s="37" t="s">
        <v>185</v>
      </c>
      <c r="M285" s="37" t="s">
        <v>287</v>
      </c>
      <c r="N285" s="37"/>
      <c r="O285" s="254"/>
      <c r="Q285" s="34"/>
      <c r="R285" s="35" t="s">
        <v>318</v>
      </c>
      <c r="S285" s="35"/>
      <c r="T285" s="104"/>
      <c r="U285" s="35"/>
      <c r="V285" s="35"/>
      <c r="W285" s="35"/>
      <c r="X285" s="35"/>
      <c r="Y285" s="35"/>
      <c r="Z285" s="35"/>
      <c r="AA285" s="35"/>
      <c r="AB285" s="35"/>
      <c r="AC285" s="35"/>
      <c r="AD285" s="35"/>
      <c r="AE285" s="35"/>
      <c r="AF285" s="35"/>
      <c r="AG285" s="35"/>
      <c r="AH285" s="35"/>
      <c r="AI285" s="35"/>
      <c r="AJ285" s="35"/>
      <c r="AK285" s="36"/>
      <c r="AL285" s="36"/>
      <c r="AM285" s="36"/>
      <c r="AN285" s="36"/>
      <c r="AO285" s="36"/>
      <c r="AP285" s="36"/>
      <c r="AQ285" s="36"/>
      <c r="AR285" s="36"/>
      <c r="AS285" s="36"/>
      <c r="AT285" s="36"/>
      <c r="AU285" s="36"/>
      <c r="AV285" s="36"/>
      <c r="AW285" s="36"/>
      <c r="AX285" s="36"/>
      <c r="AY285" s="36"/>
      <c r="AZ285" s="36"/>
      <c r="BA285" s="36"/>
      <c r="BB285" s="36"/>
    </row>
    <row r="286" spans="1:54" s="30" customFormat="1" ht="15" x14ac:dyDescent="0.2">
      <c r="B286" s="52" t="s">
        <v>331</v>
      </c>
      <c r="C286" s="152"/>
      <c r="D286" s="314" t="str">
        <f>IFERROR(VLOOKUP(C285,Materiaalit!$C$106:$D$124,2,FALSE),"Yksikkö")</f>
        <v>Yksikkö</v>
      </c>
      <c r="E286" s="33"/>
      <c r="G286" s="33"/>
      <c r="H286" s="81"/>
      <c r="J286" s="32" t="s">
        <v>497</v>
      </c>
      <c r="K286" s="92" t="str">
        <f>IFERROR(IF(ISNUMBER(L286),L286,VLOOKUP(C285,Materiaalit!$C$106:$N$124,5,FALSE)),"--")</f>
        <v>--</v>
      </c>
      <c r="L286" s="39"/>
      <c r="M286" s="92" t="str">
        <f>IF(D286="Yksikkö","--","kgCO2e/" &amp;D286)</f>
        <v>--</v>
      </c>
      <c r="N286" s="41"/>
      <c r="O286" s="255"/>
      <c r="Q286" s="34"/>
      <c r="R286" s="48" t="str">
        <f>IF(NOT(AND(ISNUMBER(K286),ISNUMBER(C286))),"",C286*K286*IF(C285=Pudotusvalikot!$P$14,1,IF(C285=Pudotusvalikot!$P$15,Materiaalit!$M$106,IF(C285=Pudotusvalikot!$P$16,Materiaalit!$M$107,IF(C285=Pudotusvalikot!$P$17,Materiaalit!$M$108,IF(C285=Pudotusvalikot!$P$18,Materiaalit!$M$109,IF(C285=Pudotusvalikot!$P$19,Materiaalit!$M$110,IF(C285=Pudotusvalikot!$P$20,Materiaalit!$M$111,IF(C285=Pudotusvalikot!$P$21,Materiaalit!$M$112,IF(C285=Pudotusvalikot!$P$22,Materiaalit!$M$113,IF(C285=Pudotusvalikot!$P$23,Materiaalit!$M$114,IF(C285=Pudotusvalikot!$P$24,Materiaalit!$M$115,IF(C285=Pudotusvalikot!$P$25,Materiaalit!$M$116,IF(C285=Pudotusvalikot!$P$26,Materiaalit!$M$117,IF(C285=Pudotusvalikot!$P$27,Materiaalit!$M$118,IF(C285=Pudotusvalikot!$P$28,Materiaalit!$M$119,Materiaalit!$M$120))))))))))))))))</f>
        <v/>
      </c>
      <c r="S286" s="98" t="s">
        <v>160</v>
      </c>
      <c r="T286" s="104"/>
      <c r="U286" s="35"/>
      <c r="V286" s="35"/>
      <c r="W286" s="35"/>
      <c r="X286" s="35"/>
      <c r="Y286" s="35"/>
      <c r="Z286" s="35"/>
      <c r="AA286" s="35"/>
      <c r="AB286" s="35"/>
      <c r="AC286" s="35"/>
      <c r="AD286" s="35"/>
      <c r="AE286" s="35"/>
      <c r="AF286" s="35"/>
      <c r="AG286" s="35"/>
      <c r="AH286" s="35"/>
      <c r="AI286" s="35"/>
      <c r="AJ286" s="35"/>
      <c r="AK286" s="36"/>
      <c r="AL286" s="36"/>
      <c r="AM286" s="36"/>
      <c r="AN286" s="36"/>
      <c r="AO286" s="36"/>
      <c r="AP286" s="36"/>
      <c r="AQ286" s="36"/>
      <c r="AR286" s="36"/>
      <c r="AS286" s="36"/>
      <c r="AT286" s="36"/>
      <c r="AU286" s="36"/>
      <c r="AV286" s="36"/>
      <c r="AW286" s="36"/>
      <c r="AX286" s="36"/>
      <c r="AY286" s="36"/>
      <c r="AZ286" s="36"/>
      <c r="BA286" s="36"/>
      <c r="BB286" s="36"/>
    </row>
    <row r="287" spans="1:54" s="30" customFormat="1" ht="15" x14ac:dyDescent="0.2">
      <c r="B287" s="160" t="s">
        <v>305</v>
      </c>
      <c r="C287" s="33"/>
      <c r="D287" s="81"/>
      <c r="E287" s="33"/>
      <c r="G287" s="33"/>
      <c r="H287" s="81"/>
      <c r="J287" s="32"/>
      <c r="K287" s="37"/>
      <c r="L287" s="37"/>
      <c r="M287" s="37"/>
      <c r="N287" s="37"/>
      <c r="O287" s="254"/>
      <c r="Q287" s="34"/>
      <c r="R287" s="59"/>
      <c r="S287" s="35"/>
      <c r="T287" s="104"/>
      <c r="U287" s="35"/>
      <c r="V287" s="35"/>
      <c r="W287" s="35"/>
      <c r="X287" s="35"/>
      <c r="Y287" s="35"/>
      <c r="Z287" s="35"/>
      <c r="AA287" s="35"/>
      <c r="AB287" s="35"/>
      <c r="AC287" s="35"/>
      <c r="AD287" s="35"/>
      <c r="AE287" s="35"/>
      <c r="AF287" s="35"/>
      <c r="AG287" s="35"/>
      <c r="AH287" s="35"/>
      <c r="AI287" s="35"/>
      <c r="AJ287" s="35"/>
      <c r="AK287" s="36"/>
      <c r="AL287" s="36"/>
      <c r="AM287" s="36"/>
      <c r="AN287" s="36"/>
      <c r="AO287" s="36"/>
      <c r="AP287" s="36"/>
      <c r="AQ287" s="36"/>
      <c r="AR287" s="36"/>
      <c r="AS287" s="36"/>
      <c r="AT287" s="36"/>
      <c r="AU287" s="36"/>
      <c r="AV287" s="36"/>
      <c r="AW287" s="36"/>
      <c r="AX287" s="36"/>
      <c r="AY287" s="36"/>
      <c r="AZ287" s="36"/>
      <c r="BA287" s="36"/>
      <c r="BB287" s="36"/>
    </row>
    <row r="288" spans="1:54" s="30" customFormat="1" ht="45" x14ac:dyDescent="0.2">
      <c r="B288" s="76" t="s">
        <v>658</v>
      </c>
      <c r="C288" s="471" t="s">
        <v>110</v>
      </c>
      <c r="D288" s="473"/>
      <c r="E288" s="33"/>
      <c r="G288" s="33"/>
      <c r="H288" s="81"/>
      <c r="J288" s="32"/>
      <c r="K288" s="37" t="s">
        <v>297</v>
      </c>
      <c r="L288" s="37" t="s">
        <v>185</v>
      </c>
      <c r="M288" s="37" t="s">
        <v>287</v>
      </c>
      <c r="N288" s="37"/>
      <c r="O288" s="254"/>
      <c r="Q288" s="34"/>
      <c r="R288" s="35" t="s">
        <v>318</v>
      </c>
      <c r="S288" s="35"/>
      <c r="T288" s="104"/>
      <c r="U288" s="35"/>
      <c r="V288" s="35"/>
      <c r="W288" s="35"/>
      <c r="X288" s="35"/>
      <c r="Y288" s="35"/>
      <c r="Z288" s="35"/>
      <c r="AA288" s="35"/>
      <c r="AB288" s="35"/>
      <c r="AC288" s="35"/>
      <c r="AD288" s="35"/>
      <c r="AE288" s="35"/>
      <c r="AF288" s="35"/>
      <c r="AG288" s="35"/>
      <c r="AH288" s="35"/>
      <c r="AI288" s="35"/>
      <c r="AJ288" s="35"/>
      <c r="AK288" s="36"/>
      <c r="AL288" s="36"/>
      <c r="AM288" s="36"/>
      <c r="AN288" s="36"/>
      <c r="AO288" s="36"/>
      <c r="AP288" s="36"/>
      <c r="AQ288" s="36"/>
      <c r="AR288" s="36"/>
      <c r="AS288" s="36"/>
      <c r="AT288" s="36"/>
      <c r="AU288" s="36"/>
      <c r="AV288" s="36"/>
      <c r="AW288" s="36"/>
      <c r="AX288" s="36"/>
      <c r="AY288" s="36"/>
      <c r="AZ288" s="36"/>
      <c r="BA288" s="36"/>
      <c r="BB288" s="36"/>
    </row>
    <row r="289" spans="1:56" s="30" customFormat="1" ht="15" x14ac:dyDescent="0.2">
      <c r="B289" s="52" t="s">
        <v>331</v>
      </c>
      <c r="C289" s="152"/>
      <c r="D289" s="314" t="str">
        <f>IFERROR(VLOOKUP(C288,Materiaalit!$C$106:$D$124,2,FALSE),"Yksikkö")</f>
        <v>Yksikkö</v>
      </c>
      <c r="E289" s="33"/>
      <c r="G289" s="33"/>
      <c r="H289" s="81"/>
      <c r="J289" s="32" t="s">
        <v>497</v>
      </c>
      <c r="K289" s="92" t="str">
        <f>IFERROR(IF(ISNUMBER(L289),L289,VLOOKUP(C288,Materiaalit!$C$106:$N$124,5,FALSE)),"--")</f>
        <v>--</v>
      </c>
      <c r="L289" s="39"/>
      <c r="M289" s="92" t="str">
        <f>IF(D289="Yksikkö","--","kgCO2e/" &amp;D289)</f>
        <v>--</v>
      </c>
      <c r="N289" s="41"/>
      <c r="O289" s="255"/>
      <c r="Q289" s="34"/>
      <c r="R289" s="48" t="str">
        <f>IF(NOT(AND(ISNUMBER(K289),ISNUMBER(C289))),"",C289*K289*IF(C288=Pudotusvalikot!$P$14,1,IF(C288=Pudotusvalikot!$P$15,Materiaalit!$M$106,IF(C288=Pudotusvalikot!$P$16,Materiaalit!$M$107,IF(C288=Pudotusvalikot!$P$17,Materiaalit!$M$108,IF(C288=Pudotusvalikot!$P$18,Materiaalit!$M$109,IF(C288=Pudotusvalikot!$P$19,Materiaalit!$M$110,IF(C288=Pudotusvalikot!$P$20,Materiaalit!$M$111,IF(C288=Pudotusvalikot!$P$21,Materiaalit!$M$112,IF(C288=Pudotusvalikot!$P$22,Materiaalit!$M$113,IF(C288=Pudotusvalikot!$P$23,Materiaalit!$M$114,IF(C288=Pudotusvalikot!$P$24,Materiaalit!$M$115,IF(C288=Pudotusvalikot!$P$25,Materiaalit!$M$116,IF(C288=Pudotusvalikot!$P$26,Materiaalit!$M$117,IF(C288=Pudotusvalikot!$P$27,Materiaalit!$M$118,IF(C288=Pudotusvalikot!$P$28,Materiaalit!$M$119,Materiaalit!$M$120))))))))))))))))</f>
        <v/>
      </c>
      <c r="S289" s="98" t="s">
        <v>160</v>
      </c>
      <c r="T289" s="104"/>
      <c r="U289" s="35"/>
      <c r="V289" s="35"/>
      <c r="W289" s="35"/>
      <c r="X289" s="35"/>
      <c r="Y289" s="35"/>
      <c r="Z289" s="35"/>
      <c r="AA289" s="35"/>
      <c r="AB289" s="35"/>
      <c r="AC289" s="35"/>
      <c r="AD289" s="35"/>
      <c r="AE289" s="35"/>
      <c r="AF289" s="35"/>
      <c r="AG289" s="35"/>
      <c r="AH289" s="35"/>
      <c r="AI289" s="35"/>
      <c r="AJ289" s="35"/>
      <c r="AK289" s="36"/>
      <c r="AL289" s="36"/>
      <c r="AM289" s="36"/>
      <c r="AN289" s="36"/>
      <c r="AO289" s="36"/>
      <c r="AP289" s="36"/>
      <c r="AQ289" s="36"/>
      <c r="AR289" s="36"/>
      <c r="AS289" s="36"/>
      <c r="AT289" s="36"/>
      <c r="AU289" s="36"/>
      <c r="AV289" s="36"/>
      <c r="AW289" s="36"/>
      <c r="AX289" s="36"/>
      <c r="AY289" s="36"/>
      <c r="AZ289" s="36"/>
      <c r="BA289" s="36"/>
      <c r="BB289" s="36"/>
    </row>
    <row r="290" spans="1:56" s="30" customFormat="1" ht="15" x14ac:dyDescent="0.2">
      <c r="B290" s="160" t="s">
        <v>306</v>
      </c>
      <c r="C290" s="33"/>
      <c r="D290" s="81"/>
      <c r="E290" s="33"/>
      <c r="G290" s="33"/>
      <c r="H290" s="81"/>
      <c r="J290" s="32"/>
      <c r="K290" s="37"/>
      <c r="L290" s="37"/>
      <c r="M290" s="37"/>
      <c r="N290" s="37"/>
      <c r="O290" s="254"/>
      <c r="Q290" s="34"/>
      <c r="R290" s="59"/>
      <c r="S290" s="35"/>
      <c r="T290" s="104"/>
      <c r="U290" s="35"/>
      <c r="V290" s="35"/>
      <c r="W290" s="35"/>
      <c r="X290" s="35"/>
      <c r="Y290" s="35"/>
      <c r="Z290" s="35"/>
      <c r="AA290" s="35"/>
      <c r="AB290" s="35"/>
      <c r="AC290" s="35"/>
      <c r="AD290" s="35"/>
      <c r="AE290" s="35"/>
      <c r="AF290" s="35"/>
      <c r="AG290" s="35"/>
      <c r="AH290" s="35"/>
      <c r="AI290" s="35"/>
      <c r="AJ290" s="35"/>
      <c r="AK290" s="36"/>
      <c r="AL290" s="36"/>
      <c r="AM290" s="36"/>
      <c r="AN290" s="36"/>
      <c r="AO290" s="36"/>
      <c r="AP290" s="36"/>
      <c r="AQ290" s="36"/>
      <c r="AR290" s="36"/>
      <c r="AS290" s="36"/>
      <c r="AT290" s="36"/>
      <c r="AU290" s="36"/>
      <c r="AV290" s="36"/>
      <c r="AW290" s="36"/>
      <c r="AX290" s="36"/>
      <c r="AY290" s="36"/>
      <c r="AZ290" s="36"/>
      <c r="BA290" s="36"/>
      <c r="BB290" s="36"/>
    </row>
    <row r="291" spans="1:56" s="30" customFormat="1" ht="45" x14ac:dyDescent="0.2">
      <c r="B291" s="76" t="s">
        <v>658</v>
      </c>
      <c r="C291" s="471" t="s">
        <v>110</v>
      </c>
      <c r="D291" s="473"/>
      <c r="E291" s="33"/>
      <c r="G291" s="33"/>
      <c r="H291" s="81"/>
      <c r="J291" s="32"/>
      <c r="K291" s="37" t="s">
        <v>297</v>
      </c>
      <c r="L291" s="37" t="s">
        <v>185</v>
      </c>
      <c r="M291" s="37" t="s">
        <v>287</v>
      </c>
      <c r="N291" s="37"/>
      <c r="O291" s="254"/>
      <c r="Q291" s="34"/>
      <c r="R291" s="35" t="s">
        <v>318</v>
      </c>
      <c r="S291" s="35"/>
      <c r="T291" s="104"/>
      <c r="U291" s="35"/>
      <c r="V291" s="35"/>
      <c r="W291" s="35"/>
      <c r="X291" s="35"/>
      <c r="Y291" s="35"/>
      <c r="Z291" s="35"/>
      <c r="AA291" s="35"/>
      <c r="AB291" s="35"/>
      <c r="AC291" s="35"/>
      <c r="AD291" s="35"/>
      <c r="AE291" s="35"/>
      <c r="AF291" s="35"/>
      <c r="AG291" s="35"/>
      <c r="AH291" s="35"/>
      <c r="AI291" s="35"/>
      <c r="AJ291" s="35"/>
      <c r="AK291" s="36"/>
      <c r="AL291" s="36"/>
      <c r="AM291" s="36"/>
      <c r="AN291" s="36"/>
      <c r="AO291" s="36"/>
      <c r="AP291" s="36"/>
      <c r="AQ291" s="36"/>
      <c r="AR291" s="36"/>
      <c r="AS291" s="36"/>
      <c r="AT291" s="36"/>
      <c r="AU291" s="36"/>
      <c r="AV291" s="36"/>
      <c r="AW291" s="36"/>
      <c r="AX291" s="36"/>
      <c r="AY291" s="36"/>
      <c r="AZ291" s="36"/>
      <c r="BA291" s="36"/>
      <c r="BB291" s="36"/>
    </row>
    <row r="292" spans="1:56" s="30" customFormat="1" ht="15" x14ac:dyDescent="0.2">
      <c r="B292" s="52" t="s">
        <v>331</v>
      </c>
      <c r="C292" s="152"/>
      <c r="D292" s="314" t="str">
        <f>IFERROR(VLOOKUP(C291,Materiaalit!$C$106:$D$124,2,FALSE),"Yksikkö")</f>
        <v>Yksikkö</v>
      </c>
      <c r="E292" s="33"/>
      <c r="F292" s="33"/>
      <c r="G292" s="33"/>
      <c r="H292" s="81"/>
      <c r="J292" s="32" t="s">
        <v>497</v>
      </c>
      <c r="K292" s="92" t="str">
        <f>IFERROR(IF(ISNUMBER(L292),L292,VLOOKUP(C291,Materiaalit!$C$106:$N$124,5,FALSE)),"--")</f>
        <v>--</v>
      </c>
      <c r="L292" s="39"/>
      <c r="M292" s="92" t="str">
        <f>IF(D292="Yksikkö","--","kgCO2e/" &amp;D292)</f>
        <v>--</v>
      </c>
      <c r="N292" s="41"/>
      <c r="O292" s="255"/>
      <c r="Q292" s="34"/>
      <c r="R292" s="48" t="str">
        <f>IF(NOT(AND(ISNUMBER(K292),ISNUMBER(C292))),"",C292*K292*IF(C291=Pudotusvalikot!$P$14,1,IF(C291=Pudotusvalikot!$P$15,Materiaalit!$M$106,IF(C291=Pudotusvalikot!$P$16,Materiaalit!$M$107,IF(C291=Pudotusvalikot!$P$17,Materiaalit!$M$108,IF(C291=Pudotusvalikot!$P$18,Materiaalit!$M$109,IF(C291=Pudotusvalikot!$P$19,Materiaalit!$M$110,IF(C291=Pudotusvalikot!$P$20,Materiaalit!$M$111,IF(C291=Pudotusvalikot!$P$21,Materiaalit!$M$112,IF(C291=Pudotusvalikot!$P$22,Materiaalit!$M$113,IF(C291=Pudotusvalikot!$P$23,Materiaalit!$M$114,IF(C291=Pudotusvalikot!$P$24,Materiaalit!$M$115,IF(C291=Pudotusvalikot!$P$25,Materiaalit!$M$116,IF(C291=Pudotusvalikot!$P$26,Materiaalit!$M$117,IF(C291=Pudotusvalikot!$P$27,Materiaalit!$M$118,IF(C291=Pudotusvalikot!$P$28,Materiaalit!$M$119,Materiaalit!$M$120))))))))))))))))</f>
        <v/>
      </c>
      <c r="S292" s="98" t="s">
        <v>160</v>
      </c>
      <c r="T292" s="104"/>
      <c r="U292" s="35"/>
      <c r="V292" s="35"/>
      <c r="W292" s="35"/>
      <c r="X292" s="35"/>
      <c r="Y292" s="35"/>
      <c r="Z292" s="35"/>
      <c r="AA292" s="35"/>
      <c r="AB292" s="35"/>
      <c r="AC292" s="35"/>
      <c r="AD292" s="35"/>
      <c r="AE292" s="35"/>
      <c r="AF292" s="35"/>
      <c r="AG292" s="35"/>
      <c r="AH292" s="35"/>
      <c r="AI292" s="35"/>
      <c r="AJ292" s="35"/>
      <c r="AK292" s="36"/>
      <c r="AL292" s="36"/>
      <c r="AM292" s="36"/>
      <c r="AN292" s="36"/>
      <c r="AO292" s="36"/>
      <c r="AP292" s="36"/>
      <c r="AQ292" s="36"/>
      <c r="AR292" s="36"/>
      <c r="AS292" s="36"/>
      <c r="AT292" s="36"/>
      <c r="AU292" s="36"/>
      <c r="AV292" s="36"/>
      <c r="AW292" s="36"/>
      <c r="AX292" s="36"/>
      <c r="AY292" s="36"/>
      <c r="AZ292" s="36"/>
      <c r="BA292" s="36"/>
      <c r="BB292" s="36"/>
    </row>
    <row r="293" spans="1:56" s="30" customFormat="1" ht="15" x14ac:dyDescent="0.2">
      <c r="B293" s="160" t="s">
        <v>307</v>
      </c>
      <c r="C293" s="33"/>
      <c r="D293" s="81"/>
      <c r="E293" s="33"/>
      <c r="G293" s="33"/>
      <c r="H293" s="81"/>
      <c r="J293" s="32"/>
      <c r="K293" s="37"/>
      <c r="L293" s="37"/>
      <c r="M293" s="37"/>
      <c r="N293" s="37"/>
      <c r="O293" s="254"/>
      <c r="Q293" s="34"/>
      <c r="R293" s="59"/>
      <c r="S293" s="35"/>
      <c r="T293" s="104"/>
      <c r="U293" s="35"/>
      <c r="V293" s="35"/>
      <c r="W293" s="35"/>
      <c r="X293" s="35"/>
      <c r="Y293" s="35"/>
      <c r="Z293" s="35"/>
      <c r="AA293" s="35"/>
      <c r="AB293" s="35"/>
      <c r="AC293" s="35"/>
      <c r="AD293" s="35"/>
      <c r="AE293" s="35"/>
      <c r="AF293" s="35"/>
      <c r="AG293" s="35"/>
      <c r="AH293" s="35"/>
      <c r="AI293" s="35"/>
      <c r="AJ293" s="35"/>
      <c r="AK293" s="36"/>
      <c r="AL293" s="36"/>
      <c r="AM293" s="36"/>
      <c r="AN293" s="36"/>
      <c r="AO293" s="36"/>
      <c r="AP293" s="36"/>
      <c r="AQ293" s="36"/>
      <c r="AR293" s="36"/>
      <c r="AS293" s="36"/>
      <c r="AT293" s="36"/>
      <c r="AU293" s="36"/>
      <c r="AV293" s="36"/>
      <c r="AW293" s="36"/>
      <c r="AX293" s="36"/>
      <c r="AY293" s="36"/>
      <c r="AZ293" s="36"/>
      <c r="BA293" s="36"/>
      <c r="BB293" s="36"/>
    </row>
    <row r="294" spans="1:56" s="30" customFormat="1" ht="45" x14ac:dyDescent="0.2">
      <c r="B294" s="76" t="s">
        <v>658</v>
      </c>
      <c r="C294" s="471" t="s">
        <v>110</v>
      </c>
      <c r="D294" s="473"/>
      <c r="E294" s="33"/>
      <c r="G294" s="33"/>
      <c r="H294" s="81"/>
      <c r="J294" s="32"/>
      <c r="K294" s="37" t="s">
        <v>297</v>
      </c>
      <c r="L294" s="37" t="s">
        <v>185</v>
      </c>
      <c r="M294" s="37" t="s">
        <v>287</v>
      </c>
      <c r="N294" s="37"/>
      <c r="O294" s="254"/>
      <c r="Q294" s="34"/>
      <c r="R294" s="35" t="s">
        <v>318</v>
      </c>
      <c r="S294" s="35"/>
      <c r="T294" s="104"/>
      <c r="U294" s="35"/>
      <c r="V294" s="35"/>
      <c r="W294" s="35"/>
      <c r="X294" s="35"/>
      <c r="Y294" s="35"/>
      <c r="Z294" s="35"/>
      <c r="AA294" s="35"/>
      <c r="AB294" s="35"/>
      <c r="AC294" s="35"/>
      <c r="AD294" s="35"/>
      <c r="AE294" s="35"/>
      <c r="AF294" s="35"/>
      <c r="AG294" s="35"/>
      <c r="AH294" s="35"/>
      <c r="AI294" s="35"/>
      <c r="AJ294" s="35"/>
      <c r="AK294" s="36"/>
      <c r="AL294" s="36"/>
      <c r="AM294" s="36"/>
      <c r="AN294" s="36"/>
      <c r="AO294" s="36"/>
      <c r="AP294" s="36"/>
      <c r="AQ294" s="36"/>
      <c r="AR294" s="36"/>
      <c r="AS294" s="36"/>
      <c r="AT294" s="36"/>
      <c r="AU294" s="36"/>
      <c r="AV294" s="36"/>
      <c r="AW294" s="36"/>
      <c r="AX294" s="36"/>
      <c r="AY294" s="36"/>
      <c r="AZ294" s="36"/>
      <c r="BA294" s="36"/>
      <c r="BB294" s="36"/>
    </row>
    <row r="295" spans="1:56" s="30" customFormat="1" ht="15" x14ac:dyDescent="0.2">
      <c r="B295" s="52" t="s">
        <v>331</v>
      </c>
      <c r="C295" s="152"/>
      <c r="D295" s="314" t="str">
        <f>IFERROR(VLOOKUP(C294,Materiaalit!$C$106:$D$124,2,FALSE),"Yksikkö")</f>
        <v>Yksikkö</v>
      </c>
      <c r="E295" s="33"/>
      <c r="G295" s="33"/>
      <c r="H295" s="81"/>
      <c r="J295" s="32" t="s">
        <v>497</v>
      </c>
      <c r="K295" s="92" t="str">
        <f>IFERROR(IF(ISNUMBER(L295),L295,VLOOKUP(C294,Materiaalit!$C$106:$N$124,5,FALSE)),"--")</f>
        <v>--</v>
      </c>
      <c r="L295" s="39"/>
      <c r="M295" s="92" t="str">
        <f>IF(D295="Yksikkö","--","kgCO2e/" &amp;D295)</f>
        <v>--</v>
      </c>
      <c r="N295" s="41"/>
      <c r="O295" s="255"/>
      <c r="Q295" s="34"/>
      <c r="R295" s="48" t="str">
        <f>IF(NOT(AND(ISNUMBER(K295),ISNUMBER(C295))),"",C295*K295*IF(C294=Pudotusvalikot!$P$14,1,IF(C294=Pudotusvalikot!$P$15,Materiaalit!$M$106,IF(C294=Pudotusvalikot!$P$16,Materiaalit!$M$107,IF(C294=Pudotusvalikot!$P$17,Materiaalit!$M$108,IF(C294=Pudotusvalikot!$P$18,Materiaalit!$M$109,IF(C294=Pudotusvalikot!$P$19,Materiaalit!$M$110,IF(C294=Pudotusvalikot!$P$20,Materiaalit!$M$111,IF(C294=Pudotusvalikot!$P$21,Materiaalit!$M$112,IF(C294=Pudotusvalikot!$P$22,Materiaalit!$M$113,IF(C294=Pudotusvalikot!$P$23,Materiaalit!$M$114,IF(C294=Pudotusvalikot!$P$24,Materiaalit!$M$115,IF(C294=Pudotusvalikot!$P$25,Materiaalit!$M$116,IF(C294=Pudotusvalikot!$P$26,Materiaalit!$M$117,IF(C294=Pudotusvalikot!$P$27,Materiaalit!$M$118,IF(C294=Pudotusvalikot!$P$28,Materiaalit!$M$119,Materiaalit!$M$120))))))))))))))))</f>
        <v/>
      </c>
      <c r="S295" s="98" t="s">
        <v>160</v>
      </c>
      <c r="T295" s="104"/>
      <c r="U295" s="35"/>
      <c r="V295" s="35"/>
      <c r="W295" s="35"/>
      <c r="X295" s="35"/>
      <c r="Y295" s="35"/>
      <c r="Z295" s="35"/>
      <c r="AA295" s="35"/>
      <c r="AB295" s="35"/>
      <c r="AC295" s="35"/>
      <c r="AD295" s="35"/>
      <c r="AE295" s="35"/>
      <c r="AF295" s="35"/>
      <c r="AG295" s="35"/>
      <c r="AH295" s="35"/>
      <c r="AI295" s="35"/>
      <c r="AJ295" s="35"/>
      <c r="AK295" s="36"/>
      <c r="AL295" s="36"/>
      <c r="AM295" s="36"/>
      <c r="AN295" s="36"/>
      <c r="AO295" s="36"/>
      <c r="AP295" s="36"/>
      <c r="AQ295" s="36"/>
      <c r="AR295" s="36"/>
      <c r="AS295" s="36"/>
      <c r="AT295" s="36"/>
      <c r="AU295" s="36"/>
      <c r="AV295" s="36"/>
      <c r="AW295" s="36"/>
      <c r="AX295" s="36"/>
      <c r="AY295" s="36"/>
      <c r="AZ295" s="36"/>
      <c r="BA295" s="36"/>
      <c r="BB295" s="36"/>
    </row>
    <row r="296" spans="1:56" s="30" customFormat="1" ht="15" x14ac:dyDescent="0.2">
      <c r="C296" s="33"/>
      <c r="D296" s="81"/>
      <c r="G296" s="33"/>
      <c r="H296" s="81"/>
      <c r="J296" s="32"/>
      <c r="K296" s="33"/>
      <c r="L296" s="33"/>
      <c r="M296" s="81"/>
      <c r="N296" s="81"/>
      <c r="O296" s="249"/>
      <c r="Q296" s="34"/>
      <c r="R296" s="95"/>
      <c r="S296" s="35"/>
      <c r="T296" s="35"/>
      <c r="U296" s="35"/>
      <c r="V296" s="35"/>
      <c r="W296" s="35"/>
      <c r="X296" s="35"/>
      <c r="Y296" s="35"/>
      <c r="Z296" s="35"/>
      <c r="AA296" s="35"/>
      <c r="AB296" s="35"/>
      <c r="AC296" s="35"/>
      <c r="AD296" s="35"/>
      <c r="AE296" s="35"/>
      <c r="AF296" s="35"/>
      <c r="AG296" s="35"/>
      <c r="AH296" s="35"/>
      <c r="AI296" s="35"/>
      <c r="AJ296" s="35"/>
      <c r="AK296" s="36"/>
      <c r="AL296" s="36"/>
      <c r="AM296" s="36"/>
      <c r="AN296" s="36"/>
      <c r="AO296" s="36"/>
      <c r="AP296" s="36"/>
      <c r="AQ296" s="36"/>
      <c r="AR296" s="36"/>
      <c r="AS296" s="36"/>
      <c r="AT296" s="36"/>
      <c r="AU296" s="36"/>
      <c r="AV296" s="36"/>
      <c r="AW296" s="36"/>
      <c r="AX296" s="36"/>
      <c r="AY296" s="36"/>
      <c r="AZ296" s="36"/>
      <c r="BA296" s="36"/>
      <c r="BB296" s="36"/>
    </row>
    <row r="297" spans="1:56" s="30" customFormat="1" ht="18" x14ac:dyDescent="0.2">
      <c r="A297" s="289"/>
      <c r="B297" s="286" t="s">
        <v>670</v>
      </c>
      <c r="C297" s="287"/>
      <c r="D297" s="288"/>
      <c r="E297" s="289"/>
      <c r="F297" s="289"/>
      <c r="G297" s="287"/>
      <c r="H297" s="288"/>
      <c r="I297" s="289"/>
      <c r="J297" s="289"/>
      <c r="K297" s="290"/>
      <c r="L297" s="290"/>
      <c r="M297" s="288"/>
      <c r="N297" s="288"/>
      <c r="O297" s="291"/>
      <c r="P297" s="289"/>
      <c r="Q297" s="292"/>
      <c r="R297" s="293"/>
      <c r="S297" s="294"/>
      <c r="T297" s="294"/>
      <c r="U297" s="294"/>
      <c r="V297" s="294"/>
      <c r="W297" s="294"/>
      <c r="X297" s="294"/>
      <c r="Y297" s="294"/>
      <c r="Z297" s="294"/>
      <c r="AA297" s="294"/>
      <c r="AB297" s="294"/>
      <c r="AC297" s="294"/>
      <c r="AD297" s="294"/>
      <c r="AE297" s="294"/>
      <c r="AF297" s="294"/>
      <c r="AG297" s="294"/>
      <c r="AH297" s="294"/>
      <c r="AI297" s="294"/>
      <c r="AJ297" s="294"/>
      <c r="AK297" s="295"/>
      <c r="AL297" s="295"/>
      <c r="AM297" s="295"/>
      <c r="AN297" s="295"/>
      <c r="AO297" s="295"/>
      <c r="AP297" s="295"/>
      <c r="AQ297" s="295"/>
      <c r="AR297" s="295"/>
      <c r="AS297" s="295"/>
      <c r="AT297" s="295"/>
      <c r="AU297" s="295"/>
      <c r="AV297" s="295"/>
      <c r="AW297" s="295"/>
      <c r="AX297" s="295"/>
      <c r="AY297" s="295"/>
      <c r="AZ297" s="295"/>
      <c r="BA297" s="295"/>
      <c r="BB297" s="295"/>
    </row>
    <row r="298" spans="1:56" s="30" customFormat="1" ht="15.75" x14ac:dyDescent="0.2">
      <c r="B298" s="8"/>
      <c r="C298" s="33"/>
      <c r="D298" s="81"/>
      <c r="G298" s="33"/>
      <c r="H298" s="81"/>
      <c r="J298" s="32"/>
      <c r="K298" s="33"/>
      <c r="L298" s="33"/>
      <c r="M298" s="81"/>
      <c r="N298" s="81"/>
      <c r="O298" s="249" t="s">
        <v>584</v>
      </c>
      <c r="P298" s="67"/>
      <c r="Q298" s="104"/>
      <c r="R298" s="95"/>
      <c r="S298" s="133"/>
      <c r="T298" s="36"/>
      <c r="U298" s="35"/>
      <c r="V298" s="35"/>
      <c r="W298" s="35"/>
      <c r="X298" s="35"/>
      <c r="Y298" s="35"/>
      <c r="Z298" s="35"/>
      <c r="AA298" s="35"/>
      <c r="AB298" s="35"/>
      <c r="AC298" s="35"/>
      <c r="AD298" s="35"/>
      <c r="AE298" s="35"/>
      <c r="AF298" s="35"/>
      <c r="AG298" s="35"/>
      <c r="AH298" s="35"/>
      <c r="AI298" s="35"/>
      <c r="AJ298" s="35"/>
      <c r="AK298" s="35"/>
      <c r="AL298" s="35"/>
      <c r="AM298" s="36"/>
      <c r="AN298" s="36"/>
      <c r="AO298" s="36"/>
      <c r="AP298" s="36"/>
      <c r="AQ298" s="36"/>
      <c r="AR298" s="36"/>
      <c r="AS298" s="36"/>
      <c r="AT298" s="36"/>
      <c r="AU298" s="36"/>
      <c r="AV298" s="36"/>
      <c r="AW298" s="36"/>
      <c r="AX298" s="36"/>
      <c r="AY298" s="36"/>
      <c r="AZ298" s="36"/>
      <c r="BA298" s="36"/>
      <c r="BB298" s="36"/>
      <c r="BC298" s="54"/>
      <c r="BD298" s="54"/>
    </row>
    <row r="299" spans="1:56" s="30" customFormat="1" ht="45.75" customHeight="1" x14ac:dyDescent="0.2">
      <c r="B299" s="477" t="s">
        <v>516</v>
      </c>
      <c r="C299" s="477"/>
      <c r="D299" s="477"/>
      <c r="E299" s="477"/>
      <c r="F299" s="477"/>
      <c r="G299" s="477"/>
      <c r="H299" s="477"/>
      <c r="J299" s="32"/>
      <c r="K299" s="41"/>
      <c r="L299" s="41"/>
      <c r="M299" s="40"/>
      <c r="N299" s="40"/>
      <c r="O299" s="250"/>
      <c r="Q299" s="34"/>
      <c r="R299" s="59"/>
      <c r="S299" s="98"/>
      <c r="T299" s="35"/>
      <c r="U299" s="35"/>
      <c r="V299" s="35"/>
      <c r="W299" s="35"/>
      <c r="X299" s="35"/>
      <c r="Y299" s="35"/>
      <c r="Z299" s="35"/>
      <c r="AA299" s="35"/>
      <c r="AB299" s="104"/>
      <c r="AC299" s="35"/>
      <c r="AD299" s="35"/>
      <c r="AE299" s="35"/>
      <c r="AF299" s="35"/>
      <c r="AG299" s="35"/>
      <c r="AH299" s="35"/>
      <c r="AI299" s="35"/>
      <c r="AJ299" s="35"/>
      <c r="AK299" s="36"/>
      <c r="AL299" s="36"/>
      <c r="AM299" s="36"/>
      <c r="AN299" s="36"/>
      <c r="AO299" s="36"/>
      <c r="AP299" s="36"/>
      <c r="AQ299" s="36"/>
      <c r="AR299" s="36"/>
      <c r="AS299" s="36"/>
      <c r="AT299" s="36"/>
      <c r="AU299" s="36"/>
      <c r="AV299" s="36"/>
      <c r="AW299" s="36"/>
      <c r="AX299" s="36"/>
      <c r="AY299" s="36"/>
      <c r="AZ299" s="36"/>
      <c r="BA299" s="36"/>
      <c r="BB299" s="36"/>
    </row>
    <row r="300" spans="1:56" s="30" customFormat="1" ht="60.75" customHeight="1" x14ac:dyDescent="0.2">
      <c r="B300" s="477" t="s">
        <v>661</v>
      </c>
      <c r="C300" s="477"/>
      <c r="D300" s="477"/>
      <c r="E300" s="477"/>
      <c r="F300" s="477"/>
      <c r="G300" s="477"/>
      <c r="H300" s="477"/>
      <c r="J300" s="32"/>
      <c r="K300" s="41"/>
      <c r="L300" s="41"/>
      <c r="M300" s="40"/>
      <c r="N300" s="40"/>
      <c r="O300" s="250"/>
      <c r="Q300" s="34"/>
      <c r="R300" s="59"/>
      <c r="S300" s="98"/>
      <c r="T300" s="35"/>
      <c r="U300" s="35"/>
      <c r="V300" s="35"/>
      <c r="W300" s="35"/>
      <c r="X300" s="35"/>
      <c r="Y300" s="35"/>
      <c r="Z300" s="35"/>
      <c r="AA300" s="35"/>
      <c r="AB300" s="104"/>
      <c r="AC300" s="35"/>
      <c r="AD300" s="35"/>
      <c r="AE300" s="35"/>
      <c r="AF300" s="35"/>
      <c r="AG300" s="35"/>
      <c r="AH300" s="35"/>
      <c r="AI300" s="35"/>
      <c r="AJ300" s="35"/>
      <c r="AK300" s="36"/>
      <c r="AL300" s="36"/>
      <c r="AM300" s="36"/>
      <c r="AN300" s="36"/>
      <c r="AO300" s="36"/>
      <c r="AP300" s="36"/>
      <c r="AQ300" s="36"/>
      <c r="AR300" s="36"/>
      <c r="AS300" s="36"/>
      <c r="AT300" s="36"/>
      <c r="AU300" s="36"/>
      <c r="AV300" s="36"/>
      <c r="AW300" s="36"/>
      <c r="AX300" s="36"/>
      <c r="AY300" s="36"/>
      <c r="AZ300" s="36"/>
      <c r="BA300" s="36"/>
      <c r="BB300" s="36"/>
    </row>
    <row r="301" spans="1:56" s="30" customFormat="1" ht="15.75" x14ac:dyDescent="0.2">
      <c r="B301" s="8"/>
      <c r="C301" s="33"/>
      <c r="D301" s="81"/>
      <c r="G301" s="33"/>
      <c r="H301" s="81"/>
      <c r="J301" s="32"/>
      <c r="K301" s="33"/>
      <c r="L301" s="33"/>
      <c r="M301" s="81"/>
      <c r="N301" s="81"/>
      <c r="O301" s="251"/>
      <c r="Q301" s="34"/>
      <c r="R301" s="95"/>
      <c r="S301" s="133"/>
      <c r="T301" s="36"/>
      <c r="U301" s="35"/>
      <c r="V301" s="35"/>
      <c r="W301" s="35"/>
      <c r="X301" s="35"/>
      <c r="Y301" s="35"/>
      <c r="Z301" s="35"/>
      <c r="AA301" s="35"/>
      <c r="AB301" s="35"/>
      <c r="AC301" s="35"/>
      <c r="AD301" s="35"/>
      <c r="AE301" s="35"/>
      <c r="AF301" s="35"/>
      <c r="AG301" s="35"/>
      <c r="AH301" s="35"/>
      <c r="AI301" s="35"/>
      <c r="AJ301" s="35"/>
      <c r="AK301" s="35"/>
      <c r="AL301" s="35"/>
      <c r="AM301" s="36"/>
      <c r="AN301" s="36"/>
      <c r="AO301" s="36"/>
      <c r="AP301" s="36"/>
      <c r="AQ301" s="36"/>
      <c r="AR301" s="36"/>
      <c r="AS301" s="36"/>
      <c r="AT301" s="36"/>
      <c r="AU301" s="36"/>
      <c r="AV301" s="36"/>
      <c r="AW301" s="36"/>
      <c r="AX301" s="36"/>
      <c r="AY301" s="36"/>
      <c r="AZ301" s="36"/>
      <c r="BA301" s="36"/>
      <c r="BB301" s="36"/>
      <c r="BC301" s="54"/>
      <c r="BD301" s="54"/>
    </row>
    <row r="302" spans="1:56" s="30" customFormat="1" ht="15.75" x14ac:dyDescent="0.2">
      <c r="B302" s="8" t="str">
        <f>B281</f>
        <v>Kemikaali-, tuote- tai materiaalilaji 1</v>
      </c>
      <c r="C302" s="33"/>
      <c r="D302" s="81"/>
      <c r="G302" s="33"/>
      <c r="H302" s="81"/>
      <c r="J302" s="32"/>
      <c r="K302" s="33"/>
      <c r="L302" s="33"/>
      <c r="M302" s="81"/>
      <c r="N302" s="81"/>
      <c r="O302" s="251"/>
      <c r="Q302" s="34"/>
      <c r="R302" s="35" t="s">
        <v>318</v>
      </c>
      <c r="S302" s="35"/>
      <c r="T302" s="35"/>
      <c r="U302" s="35"/>
      <c r="V302" s="35"/>
      <c r="W302" s="35"/>
      <c r="X302" s="35"/>
      <c r="Y302" s="35"/>
      <c r="Z302" s="35"/>
      <c r="AA302" s="35"/>
      <c r="AB302" s="104"/>
      <c r="AC302" s="35"/>
      <c r="AD302" s="35"/>
      <c r="AE302" s="35"/>
      <c r="AF302" s="35"/>
      <c r="AG302" s="35"/>
      <c r="AH302" s="35"/>
      <c r="AI302" s="35"/>
      <c r="AJ302" s="35"/>
      <c r="AK302" s="36"/>
      <c r="AL302" s="36"/>
      <c r="AM302" s="36"/>
      <c r="AN302" s="36"/>
      <c r="AO302" s="36"/>
      <c r="AP302" s="36"/>
      <c r="AQ302" s="36"/>
      <c r="AR302" s="36"/>
      <c r="AS302" s="36"/>
      <c r="AT302" s="36"/>
      <c r="AU302" s="36"/>
      <c r="AV302" s="36"/>
      <c r="AW302" s="36"/>
      <c r="AX302" s="36"/>
      <c r="AY302" s="36"/>
      <c r="AZ302" s="36"/>
      <c r="BA302" s="36"/>
      <c r="BB302" s="36"/>
    </row>
    <row r="303" spans="1:56" s="30" customFormat="1" ht="15" x14ac:dyDescent="0.2">
      <c r="B303" s="52" t="s">
        <v>340</v>
      </c>
      <c r="C303" s="156"/>
      <c r="D303" s="81" t="s">
        <v>252</v>
      </c>
      <c r="G303" s="33" t="s">
        <v>308</v>
      </c>
      <c r="H303" s="81"/>
      <c r="J303" s="32"/>
      <c r="K303" s="37" t="s">
        <v>297</v>
      </c>
      <c r="L303" s="37" t="s">
        <v>185</v>
      </c>
      <c r="M303" s="81"/>
      <c r="N303" s="81"/>
      <c r="O303" s="251"/>
      <c r="Q303" s="34"/>
      <c r="R303" s="48" t="str">
        <f>IF(AND(ISNUMBER(G304),ISNUMBER(C303)),SUM(R304,R307:R309),"")</f>
        <v/>
      </c>
      <c r="S303" s="98" t="s">
        <v>160</v>
      </c>
      <c r="T303" s="35"/>
      <c r="U303" s="35"/>
      <c r="V303" s="35"/>
      <c r="W303" s="35"/>
      <c r="X303" s="35"/>
      <c r="Y303" s="35"/>
      <c r="Z303" s="35"/>
      <c r="AA303" s="35"/>
      <c r="AB303" s="104"/>
      <c r="AC303" s="35"/>
      <c r="AD303" s="35"/>
      <c r="AE303" s="35"/>
      <c r="AF303" s="35"/>
      <c r="AG303" s="35"/>
      <c r="AH303" s="35"/>
      <c r="AI303" s="35"/>
      <c r="AJ303" s="35"/>
      <c r="AK303" s="36"/>
      <c r="AL303" s="36"/>
      <c r="AM303" s="36"/>
      <c r="AN303" s="36"/>
      <c r="AO303" s="36"/>
      <c r="AP303" s="36"/>
      <c r="AQ303" s="36"/>
      <c r="AR303" s="36"/>
      <c r="AS303" s="36"/>
      <c r="AT303" s="36"/>
      <c r="AU303" s="36"/>
      <c r="AV303" s="36"/>
      <c r="AW303" s="36"/>
      <c r="AX303" s="36"/>
      <c r="AY303" s="36"/>
      <c r="AZ303" s="36"/>
      <c r="BA303" s="36"/>
      <c r="BB303" s="36"/>
    </row>
    <row r="304" spans="1:56" s="30" customFormat="1" ht="30" x14ac:dyDescent="0.2">
      <c r="B304" s="151" t="s">
        <v>659</v>
      </c>
      <c r="C304" s="475" t="s">
        <v>253</v>
      </c>
      <c r="D304" s="476"/>
      <c r="G304" s="152"/>
      <c r="H304" s="81" t="s">
        <v>5</v>
      </c>
      <c r="J304" s="169" t="s">
        <v>395</v>
      </c>
      <c r="K304" s="92" t="str">
        <f>IFERROR(IF(ISNUMBER(L304),L304,(VLOOKUP(C305,Kalusto!$C$45:$G$84,5,FALSE)*(VLOOKUP(C306,Muut!$D$40:$E$43,2,FALSE)))),"--")</f>
        <v>--</v>
      </c>
      <c r="L304" s="39"/>
      <c r="M304" s="40" t="s">
        <v>184</v>
      </c>
      <c r="N304" s="40"/>
      <c r="O304" s="250"/>
      <c r="Q304" s="34"/>
      <c r="R304" s="48" t="str">
        <f>IF(ISNUMBER(Y305*X305*K304),Y305*X305*K304,"")</f>
        <v/>
      </c>
      <c r="S304" s="98" t="s">
        <v>160</v>
      </c>
      <c r="T304" s="35" t="s">
        <v>400</v>
      </c>
      <c r="U304" s="35" t="s">
        <v>349</v>
      </c>
      <c r="V304" s="35" t="s">
        <v>397</v>
      </c>
      <c r="W304" s="35" t="s">
        <v>398</v>
      </c>
      <c r="X304" s="35" t="s">
        <v>401</v>
      </c>
      <c r="Y304" s="35" t="s">
        <v>403</v>
      </c>
      <c r="Z304" s="35" t="s">
        <v>339</v>
      </c>
      <c r="AA304" s="35"/>
      <c r="AB304" s="104"/>
      <c r="AC304" s="35"/>
      <c r="AD304" s="35"/>
      <c r="AE304" s="35"/>
      <c r="AF304" s="35"/>
      <c r="AG304" s="35"/>
      <c r="AH304" s="35"/>
      <c r="AI304" s="35"/>
      <c r="AJ304" s="35"/>
      <c r="AK304" s="36"/>
      <c r="AL304" s="36"/>
      <c r="AM304" s="36"/>
      <c r="AN304" s="36"/>
      <c r="AO304" s="36"/>
      <c r="AP304" s="36"/>
      <c r="AQ304" s="36"/>
      <c r="AR304" s="36"/>
      <c r="AS304" s="36"/>
      <c r="AT304" s="36"/>
      <c r="AU304" s="36"/>
      <c r="AV304" s="36"/>
      <c r="AW304" s="36"/>
      <c r="AX304" s="36"/>
      <c r="AY304" s="36"/>
      <c r="AZ304" s="36"/>
      <c r="BA304" s="36"/>
      <c r="BB304" s="36"/>
    </row>
    <row r="305" spans="2:54" s="30" customFormat="1" ht="30" x14ac:dyDescent="0.2">
      <c r="B305" s="76" t="s">
        <v>479</v>
      </c>
      <c r="C305" s="471" t="s">
        <v>298</v>
      </c>
      <c r="D305" s="472"/>
      <c r="E305" s="472"/>
      <c r="F305" s="472"/>
      <c r="G305" s="473"/>
      <c r="J305" s="32"/>
      <c r="K305" s="37" t="s">
        <v>297</v>
      </c>
      <c r="L305" s="37" t="s">
        <v>185</v>
      </c>
      <c r="M305" s="40"/>
      <c r="N305" s="40"/>
      <c r="O305" s="250"/>
      <c r="Q305" s="45"/>
      <c r="R305" s="104"/>
      <c r="S305" s="35"/>
      <c r="T305" s="46" t="str">
        <f>IFERROR(IF(ISNUMBER(L304),"Kohdetieto",VLOOKUP(C305,Kalusto!$C$45:$L$84,7,FALSE)),"--")</f>
        <v>--</v>
      </c>
      <c r="U305" s="46" t="str">
        <f>IFERROR(IF(ISNUMBER(L304),"Kohdetieto",VLOOKUP(C305,Kalusto!$C$45:$L$84,8,FALSE)),"--")</f>
        <v>--</v>
      </c>
      <c r="V305" s="47" t="str">
        <f>IFERROR(IF(ISNUMBER(L304),"Kohdetieto",VLOOKUP(C305,Kalusto!$C$45:$L$84,9,FALSE)),"--")</f>
        <v>--</v>
      </c>
      <c r="W305" s="47" t="str">
        <f>IFERROR(IF(ISNUMBER(L304),"Kohdetieto",VLOOKUP(C305,Kalusto!$C$45:$L$84,10,FALSE)),"--")</f>
        <v>--</v>
      </c>
      <c r="X305" s="48" t="str">
        <f>IF(ISBLANK(C303),"",C303/1000)</f>
        <v/>
      </c>
      <c r="Y305" s="46" t="str">
        <f>IF(ISNUMBER(G304),G304,"")</f>
        <v/>
      </c>
      <c r="Z305" s="49" t="str">
        <f>IF(ISNUMBER(L304),L304,K304)</f>
        <v>--</v>
      </c>
      <c r="AA305" s="35"/>
      <c r="AB305" s="104"/>
      <c r="AC305" s="35"/>
      <c r="AD305" s="35"/>
      <c r="AE305" s="35"/>
      <c r="AF305" s="35"/>
      <c r="AG305" s="35"/>
      <c r="AH305" s="35"/>
      <c r="AI305" s="35"/>
      <c r="AJ305" s="35"/>
      <c r="AK305" s="36"/>
      <c r="AL305" s="36"/>
      <c r="AM305" s="36"/>
      <c r="AN305" s="36"/>
      <c r="AO305" s="36"/>
      <c r="AP305" s="36"/>
      <c r="AQ305" s="36"/>
      <c r="AR305" s="36"/>
      <c r="AS305" s="36"/>
      <c r="AT305" s="36"/>
      <c r="AU305" s="36"/>
      <c r="AV305" s="36"/>
      <c r="AW305" s="36"/>
      <c r="AX305" s="36"/>
      <c r="AY305" s="36"/>
      <c r="AZ305" s="36"/>
      <c r="BA305" s="36"/>
      <c r="BB305" s="36"/>
    </row>
    <row r="306" spans="2:54" s="30" customFormat="1" ht="15" x14ac:dyDescent="0.2">
      <c r="B306" s="76" t="s">
        <v>457</v>
      </c>
      <c r="C306" s="156" t="s">
        <v>309</v>
      </c>
      <c r="D306" s="33"/>
      <c r="E306" s="33"/>
      <c r="F306" s="33"/>
      <c r="G306" s="33"/>
      <c r="H306" s="57"/>
      <c r="J306" s="169"/>
      <c r="K306" s="169"/>
      <c r="L306" s="169"/>
      <c r="M306" s="40"/>
      <c r="N306" s="40"/>
      <c r="O306" s="250"/>
      <c r="Q306" s="45"/>
      <c r="R306" s="35"/>
      <c r="S306" s="35"/>
      <c r="T306" s="35"/>
      <c r="U306" s="35"/>
      <c r="V306" s="177"/>
      <c r="W306" s="177"/>
      <c r="X306" s="59"/>
      <c r="Y306" s="35"/>
      <c r="Z306" s="59"/>
      <c r="AA306" s="178"/>
      <c r="AB306" s="59"/>
      <c r="AC306" s="59"/>
      <c r="AD306" s="59"/>
      <c r="AE306" s="59"/>
      <c r="AF306" s="178"/>
      <c r="AG306" s="59"/>
      <c r="AH306" s="104"/>
      <c r="AI306" s="35"/>
      <c r="AJ306" s="35"/>
      <c r="AK306" s="36"/>
      <c r="AL306" s="36"/>
      <c r="AM306" s="36"/>
      <c r="AN306" s="36"/>
      <c r="AO306" s="36"/>
      <c r="AP306" s="36"/>
      <c r="AQ306" s="36"/>
      <c r="AR306" s="36"/>
      <c r="AS306" s="36"/>
      <c r="AT306" s="36"/>
      <c r="AU306" s="36"/>
      <c r="AV306" s="36"/>
      <c r="AW306" s="36"/>
      <c r="AX306" s="36"/>
      <c r="AY306" s="36"/>
      <c r="AZ306" s="36"/>
      <c r="BA306" s="36"/>
      <c r="BB306" s="36"/>
    </row>
    <row r="307" spans="2:54" s="30" customFormat="1" ht="15" x14ac:dyDescent="0.2">
      <c r="B307" s="151" t="s">
        <v>491</v>
      </c>
      <c r="C307" s="474" t="s">
        <v>739</v>
      </c>
      <c r="D307" s="474"/>
      <c r="E307" s="165"/>
      <c r="G307" s="152"/>
      <c r="H307" s="81" t="s">
        <v>5</v>
      </c>
      <c r="J307" s="32" t="str">
        <f>IFERROR(VLOOKUP(C307,Kalusto!$B$107:$C$110,2,FALSE),"Valitse kuljetustapa")</f>
        <v>Valitse kuljetustapa</v>
      </c>
      <c r="K307" s="92" t="str">
        <f>IFERROR(IF(ISNUMBER(L307),L307,VLOOKUP(J307,Kalusto!$C$107:$G$110,5,FALSE)),"--")</f>
        <v>--</v>
      </c>
      <c r="L307" s="39"/>
      <c r="M307" s="40" t="s">
        <v>184</v>
      </c>
      <c r="N307" s="40"/>
      <c r="O307" s="250"/>
      <c r="Q307" s="34"/>
      <c r="R307" s="48" t="str">
        <f>IF(AND(ISNUMBER(G307)*ISNUMBER(C$303)),K307*G307*X305,"")</f>
        <v/>
      </c>
      <c r="S307" s="98" t="s">
        <v>160</v>
      </c>
      <c r="T307" s="35"/>
      <c r="U307" s="35"/>
      <c r="V307" s="35"/>
      <c r="W307" s="35"/>
      <c r="X307" s="35"/>
      <c r="Y307" s="35"/>
      <c r="Z307" s="35"/>
      <c r="AA307" s="35"/>
      <c r="AB307" s="104"/>
      <c r="AC307" s="35"/>
      <c r="AD307" s="35"/>
      <c r="AE307" s="35"/>
      <c r="AF307" s="35"/>
      <c r="AG307" s="35"/>
      <c r="AH307" s="35"/>
      <c r="AI307" s="35"/>
      <c r="AJ307" s="35"/>
      <c r="AK307" s="36"/>
      <c r="AL307" s="36"/>
      <c r="AM307" s="36"/>
      <c r="AN307" s="36"/>
      <c r="AO307" s="36"/>
      <c r="AP307" s="36"/>
      <c r="AQ307" s="36"/>
      <c r="AR307" s="36"/>
      <c r="AS307" s="36"/>
      <c r="AT307" s="36"/>
      <c r="AU307" s="36"/>
      <c r="AV307" s="36"/>
      <c r="AW307" s="36"/>
      <c r="AX307" s="36"/>
      <c r="AY307" s="36"/>
      <c r="AZ307" s="36"/>
      <c r="BA307" s="36"/>
      <c r="BB307" s="36"/>
    </row>
    <row r="308" spans="2:54" s="30" customFormat="1" ht="15" x14ac:dyDescent="0.2">
      <c r="B308" s="151" t="s">
        <v>491</v>
      </c>
      <c r="C308" s="474" t="s">
        <v>739</v>
      </c>
      <c r="D308" s="474"/>
      <c r="E308" s="165"/>
      <c r="G308" s="152"/>
      <c r="H308" s="81" t="s">
        <v>5</v>
      </c>
      <c r="J308" s="32" t="str">
        <f>IFERROR(VLOOKUP(C308,Kalusto!$B$107:$C$110,2,FALSE),"Valitse kuljetustapa")</f>
        <v>Valitse kuljetustapa</v>
      </c>
      <c r="K308" s="92" t="str">
        <f>IFERROR(IF(ISNUMBER(L308),L308,VLOOKUP(J308,Kalusto!$C$107:$G$110,5,FALSE)),"--")</f>
        <v>--</v>
      </c>
      <c r="L308" s="39"/>
      <c r="M308" s="40" t="s">
        <v>184</v>
      </c>
      <c r="N308" s="40"/>
      <c r="O308" s="250"/>
      <c r="Q308" s="34"/>
      <c r="R308" s="48" t="str">
        <f t="shared" ref="R308:R309" si="2">IF(AND(ISNUMBER(G308)*ISNUMBER(C$303)),K308*G308*X306,"")</f>
        <v/>
      </c>
      <c r="S308" s="98" t="s">
        <v>160</v>
      </c>
      <c r="T308" s="35"/>
      <c r="U308" s="35"/>
      <c r="V308" s="35"/>
      <c r="W308" s="35"/>
      <c r="X308" s="35"/>
      <c r="Y308" s="35"/>
      <c r="Z308" s="35"/>
      <c r="AA308" s="35"/>
      <c r="AB308" s="104"/>
      <c r="AC308" s="35"/>
      <c r="AD308" s="35"/>
      <c r="AE308" s="35"/>
      <c r="AF308" s="35"/>
      <c r="AG308" s="35"/>
      <c r="AH308" s="35"/>
      <c r="AI308" s="35"/>
      <c r="AJ308" s="35"/>
      <c r="AK308" s="36"/>
      <c r="AL308" s="36"/>
      <c r="AM308" s="36"/>
      <c r="AN308" s="36"/>
      <c r="AO308" s="36"/>
      <c r="AP308" s="36"/>
      <c r="AQ308" s="36"/>
      <c r="AR308" s="36"/>
      <c r="AS308" s="36"/>
      <c r="AT308" s="36"/>
      <c r="AU308" s="36"/>
      <c r="AV308" s="36"/>
      <c r="AW308" s="36"/>
      <c r="AX308" s="36"/>
      <c r="AY308" s="36"/>
      <c r="AZ308" s="36"/>
      <c r="BA308" s="36"/>
      <c r="BB308" s="36"/>
    </row>
    <row r="309" spans="2:54" s="30" customFormat="1" ht="15" x14ac:dyDescent="0.2">
      <c r="B309" s="151" t="s">
        <v>491</v>
      </c>
      <c r="C309" s="474" t="s">
        <v>739</v>
      </c>
      <c r="D309" s="474"/>
      <c r="E309" s="165"/>
      <c r="G309" s="152"/>
      <c r="H309" s="81" t="s">
        <v>5</v>
      </c>
      <c r="J309" s="32" t="str">
        <f>IFERROR(VLOOKUP(C309,Kalusto!$B$107:$C$110,2,FALSE),"Valitse kuljetustapa")</f>
        <v>Valitse kuljetustapa</v>
      </c>
      <c r="K309" s="92" t="str">
        <f>IFERROR(IF(ISNUMBER(L309),L309,VLOOKUP(J309,Kalusto!$C$107:$G$110,5,FALSE)),"--")</f>
        <v>--</v>
      </c>
      <c r="L309" s="39"/>
      <c r="M309" s="40" t="s">
        <v>184</v>
      </c>
      <c r="N309" s="40"/>
      <c r="O309" s="250"/>
      <c r="Q309" s="34"/>
      <c r="R309" s="48" t="str">
        <f t="shared" si="2"/>
        <v/>
      </c>
      <c r="S309" s="98" t="s">
        <v>160</v>
      </c>
      <c r="T309" s="35"/>
      <c r="U309" s="35"/>
      <c r="V309" s="35"/>
      <c r="W309" s="35"/>
      <c r="X309" s="35"/>
      <c r="Y309" s="35"/>
      <c r="Z309" s="35"/>
      <c r="AA309" s="35"/>
      <c r="AB309" s="104"/>
      <c r="AC309" s="35"/>
      <c r="AD309" s="35"/>
      <c r="AE309" s="35"/>
      <c r="AF309" s="35"/>
      <c r="AG309" s="35"/>
      <c r="AH309" s="35"/>
      <c r="AI309" s="35"/>
      <c r="AJ309" s="35"/>
      <c r="AK309" s="36"/>
      <c r="AL309" s="36"/>
      <c r="AM309" s="36"/>
      <c r="AN309" s="36"/>
      <c r="AO309" s="36"/>
      <c r="AP309" s="36"/>
      <c r="AQ309" s="36"/>
      <c r="AR309" s="36"/>
      <c r="AS309" s="36"/>
      <c r="AT309" s="36"/>
      <c r="AU309" s="36"/>
      <c r="AV309" s="36"/>
      <c r="AW309" s="36"/>
      <c r="AX309" s="36"/>
      <c r="AY309" s="36"/>
      <c r="AZ309" s="36"/>
      <c r="BA309" s="36"/>
      <c r="BB309" s="36"/>
    </row>
    <row r="310" spans="2:54" s="30" customFormat="1" ht="15.75" x14ac:dyDescent="0.2">
      <c r="B310" s="8" t="str">
        <f>B284</f>
        <v>Kemikaali-, tuote- tai materiaalilaji 2</v>
      </c>
      <c r="C310" s="33"/>
      <c r="D310" s="81"/>
      <c r="G310" s="70"/>
      <c r="H310" s="81"/>
      <c r="J310" s="32"/>
      <c r="K310" s="33"/>
      <c r="L310" s="33"/>
      <c r="M310" s="81"/>
      <c r="N310" s="81"/>
      <c r="O310" s="251"/>
      <c r="Q310" s="34"/>
      <c r="R310" s="35" t="s">
        <v>318</v>
      </c>
      <c r="S310" s="35"/>
      <c r="T310" s="35"/>
      <c r="U310" s="35"/>
      <c r="V310" s="35"/>
      <c r="W310" s="35"/>
      <c r="X310" s="35"/>
      <c r="Y310" s="35"/>
      <c r="Z310" s="35"/>
      <c r="AA310" s="35"/>
      <c r="AB310" s="104"/>
      <c r="AC310" s="35"/>
      <c r="AD310" s="35"/>
      <c r="AE310" s="35"/>
      <c r="AF310" s="35"/>
      <c r="AG310" s="35"/>
      <c r="AH310" s="35"/>
      <c r="AI310" s="35"/>
      <c r="AJ310" s="35"/>
      <c r="AK310" s="36"/>
      <c r="AL310" s="36"/>
      <c r="AM310" s="36"/>
      <c r="AN310" s="36"/>
      <c r="AO310" s="36"/>
      <c r="AP310" s="36"/>
      <c r="AQ310" s="36"/>
      <c r="AR310" s="36"/>
      <c r="AS310" s="36"/>
      <c r="AT310" s="36"/>
      <c r="AU310" s="36"/>
      <c r="AV310" s="36"/>
      <c r="AW310" s="36"/>
      <c r="AX310" s="36"/>
      <c r="AY310" s="36"/>
      <c r="AZ310" s="36"/>
      <c r="BA310" s="36"/>
      <c r="BB310" s="36"/>
    </row>
    <row r="311" spans="2:54" s="30" customFormat="1" ht="15" x14ac:dyDescent="0.2">
      <c r="B311" s="52" t="s">
        <v>340</v>
      </c>
      <c r="C311" s="156"/>
      <c r="D311" s="81" t="s">
        <v>252</v>
      </c>
      <c r="G311" s="33"/>
      <c r="H311" s="81"/>
      <c r="J311" s="32"/>
      <c r="K311" s="37" t="s">
        <v>297</v>
      </c>
      <c r="L311" s="37" t="s">
        <v>185</v>
      </c>
      <c r="M311" s="81"/>
      <c r="N311" s="81"/>
      <c r="O311" s="251"/>
      <c r="Q311" s="34"/>
      <c r="R311" s="48" t="str">
        <f>IF(AND(ISNUMBER(G312),ISNUMBER(C311)),SUM(R312,R315:R317),"")</f>
        <v/>
      </c>
      <c r="S311" s="98" t="s">
        <v>160</v>
      </c>
      <c r="T311" s="35"/>
      <c r="U311" s="35"/>
      <c r="V311" s="35"/>
      <c r="W311" s="35"/>
      <c r="X311" s="35"/>
      <c r="Y311" s="35"/>
      <c r="Z311" s="35"/>
      <c r="AA311" s="35"/>
      <c r="AB311" s="104"/>
      <c r="AC311" s="35"/>
      <c r="AD311" s="35"/>
      <c r="AE311" s="35"/>
      <c r="AF311" s="35"/>
      <c r="AG311" s="35"/>
      <c r="AH311" s="35"/>
      <c r="AI311" s="35"/>
      <c r="AJ311" s="35"/>
      <c r="AK311" s="36"/>
      <c r="AL311" s="36"/>
      <c r="AM311" s="36"/>
      <c r="AN311" s="36"/>
      <c r="AO311" s="36"/>
      <c r="AP311" s="36"/>
      <c r="AQ311" s="36"/>
      <c r="AR311" s="36"/>
      <c r="AS311" s="36"/>
      <c r="AT311" s="36"/>
      <c r="AU311" s="36"/>
      <c r="AV311" s="36"/>
      <c r="AW311" s="36"/>
      <c r="AX311" s="36"/>
      <c r="AY311" s="36"/>
      <c r="AZ311" s="36"/>
      <c r="BA311" s="36"/>
      <c r="BB311" s="36"/>
    </row>
    <row r="312" spans="2:54" s="30" customFormat="1" ht="30" x14ac:dyDescent="0.2">
      <c r="B312" s="151" t="s">
        <v>659</v>
      </c>
      <c r="C312" s="475" t="s">
        <v>253</v>
      </c>
      <c r="D312" s="476"/>
      <c r="G312" s="152"/>
      <c r="H312" s="81" t="s">
        <v>5</v>
      </c>
      <c r="J312" s="169" t="s">
        <v>395</v>
      </c>
      <c r="K312" s="92" t="str">
        <f>IFERROR(IF(ISNUMBER(L312),L312,(VLOOKUP(C313,Kalusto!$C$45:$G$84,5,FALSE)*(VLOOKUP(C314,Muut!$D$40:$E$43,2,FALSE)))),"--")</f>
        <v>--</v>
      </c>
      <c r="L312" s="39"/>
      <c r="M312" s="40" t="s">
        <v>184</v>
      </c>
      <c r="N312" s="40"/>
      <c r="O312" s="250"/>
      <c r="Q312" s="34"/>
      <c r="R312" s="48" t="str">
        <f>IF(ISNUMBER(Y313*X313*K312),Y313*X313*K312,"")</f>
        <v/>
      </c>
      <c r="S312" s="98" t="s">
        <v>160</v>
      </c>
      <c r="T312" s="35" t="s">
        <v>400</v>
      </c>
      <c r="U312" s="35" t="s">
        <v>349</v>
      </c>
      <c r="V312" s="35" t="s">
        <v>397</v>
      </c>
      <c r="W312" s="35" t="s">
        <v>398</v>
      </c>
      <c r="X312" s="35" t="s">
        <v>401</v>
      </c>
      <c r="Y312" s="35" t="s">
        <v>403</v>
      </c>
      <c r="Z312" s="35" t="s">
        <v>339</v>
      </c>
      <c r="AA312" s="35"/>
      <c r="AB312" s="104"/>
      <c r="AC312" s="35"/>
      <c r="AD312" s="35"/>
      <c r="AE312" s="35"/>
      <c r="AF312" s="35"/>
      <c r="AG312" s="35"/>
      <c r="AH312" s="35"/>
      <c r="AI312" s="35"/>
      <c r="AJ312" s="35"/>
      <c r="AK312" s="36"/>
      <c r="AL312" s="36"/>
      <c r="AM312" s="36"/>
      <c r="AN312" s="36"/>
      <c r="AO312" s="36"/>
      <c r="AP312" s="36"/>
      <c r="AQ312" s="36"/>
      <c r="AR312" s="36"/>
      <c r="AS312" s="36"/>
      <c r="AT312" s="36"/>
      <c r="AU312" s="36"/>
      <c r="AV312" s="36"/>
      <c r="AW312" s="36"/>
      <c r="AX312" s="36"/>
      <c r="AY312" s="36"/>
      <c r="AZ312" s="36"/>
      <c r="BA312" s="36"/>
      <c r="BB312" s="36"/>
    </row>
    <row r="313" spans="2:54" s="30" customFormat="1" ht="15" x14ac:dyDescent="0.2">
      <c r="B313" s="76" t="s">
        <v>342</v>
      </c>
      <c r="C313" s="471" t="s">
        <v>298</v>
      </c>
      <c r="D313" s="472"/>
      <c r="E313" s="472"/>
      <c r="F313" s="472"/>
      <c r="G313" s="473"/>
      <c r="J313" s="32"/>
      <c r="K313" s="37" t="s">
        <v>297</v>
      </c>
      <c r="L313" s="37" t="s">
        <v>185</v>
      </c>
      <c r="M313" s="40"/>
      <c r="N313" s="40"/>
      <c r="O313" s="250"/>
      <c r="Q313" s="45"/>
      <c r="R313" s="104"/>
      <c r="S313" s="35"/>
      <c r="T313" s="46" t="str">
        <f>IFERROR(IF(ISNUMBER(L312),"Kohdetieto",VLOOKUP(C313,Kalusto!$C$45:$L$84,7,FALSE)),"--")</f>
        <v>--</v>
      </c>
      <c r="U313" s="46" t="str">
        <f>IFERROR(IF(ISNUMBER(L312),"Kohdetieto",VLOOKUP(C313,Kalusto!$C$45:$L$84,8,FALSE)),"--")</f>
        <v>--</v>
      </c>
      <c r="V313" s="47" t="str">
        <f>IFERROR(IF(ISNUMBER(L312),"Kohdetieto",VLOOKUP(C313,Kalusto!$C$45:$L$84,9,FALSE)),"--")</f>
        <v>--</v>
      </c>
      <c r="W313" s="47" t="str">
        <f>IFERROR(IF(ISNUMBER(L312),"Kohdetieto",VLOOKUP(C313,Kalusto!$C$45:$L$84,10,FALSE)),"--")</f>
        <v>--</v>
      </c>
      <c r="X313" s="48" t="str">
        <f>IF(ISBLANK(C311),"",C311/1000)</f>
        <v/>
      </c>
      <c r="Y313" s="46" t="str">
        <f>IF(ISNUMBER(G312),G312,"")</f>
        <v/>
      </c>
      <c r="Z313" s="49" t="str">
        <f>IF(ISNUMBER(L312),L312,K312)</f>
        <v>--</v>
      </c>
      <c r="AA313" s="35"/>
      <c r="AB313" s="104"/>
      <c r="AC313" s="35"/>
      <c r="AD313" s="35"/>
      <c r="AE313" s="35"/>
      <c r="AF313" s="35"/>
      <c r="AG313" s="35"/>
      <c r="AH313" s="35"/>
      <c r="AI313" s="35"/>
      <c r="AJ313" s="35"/>
      <c r="AK313" s="36"/>
      <c r="AL313" s="36"/>
      <c r="AM313" s="36"/>
      <c r="AN313" s="36"/>
      <c r="AO313" s="36"/>
      <c r="AP313" s="36"/>
      <c r="AQ313" s="36"/>
      <c r="AR313" s="36"/>
      <c r="AS313" s="36"/>
      <c r="AT313" s="36"/>
      <c r="AU313" s="36"/>
      <c r="AV313" s="36"/>
      <c r="AW313" s="36"/>
      <c r="AX313" s="36"/>
      <c r="AY313" s="36"/>
      <c r="AZ313" s="36"/>
      <c r="BA313" s="36"/>
      <c r="BB313" s="36"/>
    </row>
    <row r="314" spans="2:54" s="30" customFormat="1" ht="15" x14ac:dyDescent="0.2">
      <c r="B314" s="76" t="s">
        <v>457</v>
      </c>
      <c r="C314" s="156" t="s">
        <v>309</v>
      </c>
      <c r="D314" s="33"/>
      <c r="E314" s="33"/>
      <c r="F314" s="33"/>
      <c r="G314" s="33"/>
      <c r="H314" s="57"/>
      <c r="J314" s="169"/>
      <c r="K314" s="169"/>
      <c r="L314" s="169"/>
      <c r="M314" s="40"/>
      <c r="N314" s="40"/>
      <c r="O314" s="250"/>
      <c r="Q314" s="45"/>
      <c r="R314" s="35"/>
      <c r="S314" s="35"/>
      <c r="T314" s="35"/>
      <c r="U314" s="35"/>
      <c r="V314" s="177"/>
      <c r="W314" s="177"/>
      <c r="X314" s="59"/>
      <c r="Y314" s="35"/>
      <c r="Z314" s="59"/>
      <c r="AA314" s="178"/>
      <c r="AB314" s="59"/>
      <c r="AC314" s="59"/>
      <c r="AD314" s="59"/>
      <c r="AE314" s="59"/>
      <c r="AF314" s="178"/>
      <c r="AG314" s="59"/>
      <c r="AH314" s="104"/>
      <c r="AI314" s="35"/>
      <c r="AJ314" s="35"/>
      <c r="AK314" s="36"/>
      <c r="AL314" s="36"/>
      <c r="AM314" s="36"/>
      <c r="AN314" s="36"/>
      <c r="AO314" s="36"/>
      <c r="AP314" s="36"/>
      <c r="AQ314" s="36"/>
      <c r="AR314" s="36"/>
      <c r="AS314" s="36"/>
      <c r="AT314" s="36"/>
      <c r="AU314" s="36"/>
      <c r="AV314" s="36"/>
      <c r="AW314" s="36"/>
      <c r="AX314" s="36"/>
      <c r="AY314" s="36"/>
      <c r="AZ314" s="36"/>
      <c r="BA314" s="36"/>
      <c r="BB314" s="36"/>
    </row>
    <row r="315" spans="2:54" s="30" customFormat="1" ht="15" x14ac:dyDescent="0.2">
      <c r="B315" s="151" t="s">
        <v>491</v>
      </c>
      <c r="C315" s="474" t="s">
        <v>739</v>
      </c>
      <c r="D315" s="474"/>
      <c r="G315" s="152"/>
      <c r="H315" s="81" t="s">
        <v>5</v>
      </c>
      <c r="J315" s="32" t="str">
        <f>IFERROR(VLOOKUP(C315,Kalusto!$B$107:$C$110,2,FALSE),"Valitse kuljetustapa")</f>
        <v>Valitse kuljetustapa</v>
      </c>
      <c r="K315" s="92" t="str">
        <f>IFERROR(IF(ISNUMBER(L315),L315,VLOOKUP(J315,Kalusto!$C$107:$G$110,5,FALSE)),"--")</f>
        <v>--</v>
      </c>
      <c r="L315" s="39"/>
      <c r="M315" s="40" t="s">
        <v>184</v>
      </c>
      <c r="N315" s="40"/>
      <c r="O315" s="250"/>
      <c r="Q315" s="34"/>
      <c r="R315" s="48" t="str">
        <f>IF(AND(ISNUMBER(G315)*ISNUMBER(C$311)),K315*G315*X313,"")</f>
        <v/>
      </c>
      <c r="S315" s="98" t="s">
        <v>160</v>
      </c>
      <c r="T315" s="35"/>
      <c r="U315" s="35"/>
      <c r="V315" s="35"/>
      <c r="W315" s="35"/>
      <c r="X315" s="35"/>
      <c r="Y315" s="35"/>
      <c r="Z315" s="35"/>
      <c r="AA315" s="35"/>
      <c r="AB315" s="104"/>
      <c r="AC315" s="35"/>
      <c r="AD315" s="35"/>
      <c r="AE315" s="35"/>
      <c r="AF315" s="35"/>
      <c r="AG315" s="35"/>
      <c r="AH315" s="35"/>
      <c r="AI315" s="35"/>
      <c r="AJ315" s="35"/>
      <c r="AK315" s="36"/>
      <c r="AL315" s="36"/>
      <c r="AM315" s="36"/>
      <c r="AN315" s="36"/>
      <c r="AO315" s="36"/>
      <c r="AP315" s="36"/>
      <c r="AQ315" s="36"/>
      <c r="AR315" s="36"/>
      <c r="AS315" s="36"/>
      <c r="AT315" s="36"/>
      <c r="AU315" s="36"/>
      <c r="AV315" s="36"/>
      <c r="AW315" s="36"/>
      <c r="AX315" s="36"/>
      <c r="AY315" s="36"/>
      <c r="AZ315" s="36"/>
      <c r="BA315" s="36"/>
      <c r="BB315" s="36"/>
    </row>
    <row r="316" spans="2:54" s="30" customFormat="1" ht="15" x14ac:dyDescent="0.2">
      <c r="B316" s="151" t="s">
        <v>491</v>
      </c>
      <c r="C316" s="474" t="s">
        <v>739</v>
      </c>
      <c r="D316" s="474"/>
      <c r="G316" s="152"/>
      <c r="H316" s="81" t="s">
        <v>5</v>
      </c>
      <c r="J316" s="32" t="str">
        <f>IFERROR(VLOOKUP(C316,Kalusto!$B$107:$C$110,2,FALSE),"Valitse kuljetustapa")</f>
        <v>Valitse kuljetustapa</v>
      </c>
      <c r="K316" s="92" t="str">
        <f>IFERROR(IF(ISNUMBER(L316),L316,VLOOKUP(J316,Kalusto!$C$107:$G$110,5,FALSE)),"--")</f>
        <v>--</v>
      </c>
      <c r="L316" s="39"/>
      <c r="M316" s="40" t="s">
        <v>184</v>
      </c>
      <c r="N316" s="40"/>
      <c r="O316" s="250"/>
      <c r="Q316" s="34"/>
      <c r="R316" s="48" t="str">
        <f t="shared" ref="R316:R317" si="3">IF(AND(ISNUMBER(G316)*ISNUMBER(C$311)),K316*G316*X314,"")</f>
        <v/>
      </c>
      <c r="S316" s="98" t="s">
        <v>160</v>
      </c>
      <c r="T316" s="35"/>
      <c r="U316" s="35"/>
      <c r="V316" s="35"/>
      <c r="W316" s="35"/>
      <c r="X316" s="35"/>
      <c r="Y316" s="35"/>
      <c r="Z316" s="35"/>
      <c r="AA316" s="35"/>
      <c r="AB316" s="104"/>
      <c r="AC316" s="35"/>
      <c r="AD316" s="35"/>
      <c r="AE316" s="35"/>
      <c r="AF316" s="35"/>
      <c r="AG316" s="35"/>
      <c r="AH316" s="35"/>
      <c r="AI316" s="35"/>
      <c r="AJ316" s="35"/>
      <c r="AK316" s="36"/>
      <c r="AL316" s="36"/>
      <c r="AM316" s="36"/>
      <c r="AN316" s="36"/>
      <c r="AO316" s="36"/>
      <c r="AP316" s="36"/>
      <c r="AQ316" s="36"/>
      <c r="AR316" s="36"/>
      <c r="AS316" s="36"/>
      <c r="AT316" s="36"/>
      <c r="AU316" s="36"/>
      <c r="AV316" s="36"/>
      <c r="AW316" s="36"/>
      <c r="AX316" s="36"/>
      <c r="AY316" s="36"/>
      <c r="AZ316" s="36"/>
      <c r="BA316" s="36"/>
      <c r="BB316" s="36"/>
    </row>
    <row r="317" spans="2:54" s="30" customFormat="1" ht="15" x14ac:dyDescent="0.2">
      <c r="B317" s="151" t="s">
        <v>491</v>
      </c>
      <c r="C317" s="474" t="s">
        <v>739</v>
      </c>
      <c r="D317" s="474"/>
      <c r="G317" s="152"/>
      <c r="H317" s="81" t="s">
        <v>5</v>
      </c>
      <c r="J317" s="32" t="str">
        <f>IFERROR(VLOOKUP(C317,Kalusto!$B$107:$C$110,2,FALSE),"Valitse kuljetustapa")</f>
        <v>Valitse kuljetustapa</v>
      </c>
      <c r="K317" s="92" t="str">
        <f>IFERROR(IF(ISNUMBER(L317),L317,VLOOKUP(J317,Kalusto!$C$107:$G$110,5,FALSE)),"--")</f>
        <v>--</v>
      </c>
      <c r="L317" s="39"/>
      <c r="M317" s="40" t="s">
        <v>184</v>
      </c>
      <c r="N317" s="40"/>
      <c r="O317" s="250"/>
      <c r="Q317" s="34"/>
      <c r="R317" s="48" t="str">
        <f t="shared" si="3"/>
        <v/>
      </c>
      <c r="S317" s="98" t="s">
        <v>160</v>
      </c>
      <c r="T317" s="35"/>
      <c r="U317" s="35"/>
      <c r="V317" s="35"/>
      <c r="W317" s="35"/>
      <c r="X317" s="35"/>
      <c r="Y317" s="35"/>
      <c r="Z317" s="35"/>
      <c r="AA317" s="35"/>
      <c r="AB317" s="104"/>
      <c r="AC317" s="35"/>
      <c r="AD317" s="35"/>
      <c r="AE317" s="35"/>
      <c r="AF317" s="35"/>
      <c r="AG317" s="35"/>
      <c r="AH317" s="35"/>
      <c r="AI317" s="35"/>
      <c r="AJ317" s="35"/>
      <c r="AK317" s="36"/>
      <c r="AL317" s="36"/>
      <c r="AM317" s="36"/>
      <c r="AN317" s="36"/>
      <c r="AO317" s="36"/>
      <c r="AP317" s="36"/>
      <c r="AQ317" s="36"/>
      <c r="AR317" s="36"/>
      <c r="AS317" s="36"/>
      <c r="AT317" s="36"/>
      <c r="AU317" s="36"/>
      <c r="AV317" s="36"/>
      <c r="AW317" s="36"/>
      <c r="AX317" s="36"/>
      <c r="AY317" s="36"/>
      <c r="AZ317" s="36"/>
      <c r="BA317" s="36"/>
      <c r="BB317" s="36"/>
    </row>
    <row r="318" spans="2:54" s="30" customFormat="1" ht="15.75" x14ac:dyDescent="0.2">
      <c r="B318" s="8" t="str">
        <f>B287</f>
        <v>Kemikaali-, tuote- tai materiaalilaji 3</v>
      </c>
      <c r="C318" s="33"/>
      <c r="D318" s="81"/>
      <c r="G318" s="70"/>
      <c r="H318" s="81"/>
      <c r="J318" s="32"/>
      <c r="K318" s="33"/>
      <c r="L318" s="33"/>
      <c r="M318" s="81"/>
      <c r="N318" s="81"/>
      <c r="O318" s="251"/>
      <c r="Q318" s="34"/>
      <c r="R318" s="35" t="s">
        <v>318</v>
      </c>
      <c r="S318" s="35"/>
      <c r="T318" s="35"/>
      <c r="U318" s="35"/>
      <c r="V318" s="35"/>
      <c r="W318" s="35"/>
      <c r="X318" s="35"/>
      <c r="Y318" s="35"/>
      <c r="Z318" s="35"/>
      <c r="AA318" s="35"/>
      <c r="AB318" s="104"/>
      <c r="AC318" s="35"/>
      <c r="AD318" s="35"/>
      <c r="AE318" s="35"/>
      <c r="AF318" s="35"/>
      <c r="AG318" s="35"/>
      <c r="AH318" s="35"/>
      <c r="AI318" s="35"/>
      <c r="AJ318" s="35"/>
      <c r="AK318" s="36"/>
      <c r="AL318" s="36"/>
      <c r="AM318" s="36"/>
      <c r="AN318" s="36"/>
      <c r="AO318" s="36"/>
      <c r="AP318" s="36"/>
      <c r="AQ318" s="36"/>
      <c r="AR318" s="36"/>
      <c r="AS318" s="36"/>
      <c r="AT318" s="36"/>
      <c r="AU318" s="36"/>
      <c r="AV318" s="36"/>
      <c r="AW318" s="36"/>
      <c r="AX318" s="36"/>
      <c r="AY318" s="36"/>
      <c r="AZ318" s="36"/>
      <c r="BA318" s="36"/>
      <c r="BB318" s="36"/>
    </row>
    <row r="319" spans="2:54" s="30" customFormat="1" ht="15" x14ac:dyDescent="0.2">
      <c r="B319" s="52" t="s">
        <v>340</v>
      </c>
      <c r="C319" s="156"/>
      <c r="D319" s="81" t="s">
        <v>252</v>
      </c>
      <c r="G319" s="33"/>
      <c r="H319" s="81"/>
      <c r="J319" s="32"/>
      <c r="K319" s="37" t="s">
        <v>297</v>
      </c>
      <c r="L319" s="37" t="s">
        <v>185</v>
      </c>
      <c r="M319" s="81"/>
      <c r="N319" s="81"/>
      <c r="O319" s="251"/>
      <c r="Q319" s="34"/>
      <c r="R319" s="48" t="str">
        <f>IF(AND(ISNUMBER(G320),ISNUMBER(C319)),SUM(R320,R323:R325),"")</f>
        <v/>
      </c>
      <c r="S319" s="98" t="s">
        <v>160</v>
      </c>
      <c r="T319" s="35"/>
      <c r="U319" s="35"/>
      <c r="V319" s="35"/>
      <c r="W319" s="35"/>
      <c r="X319" s="35"/>
      <c r="Y319" s="35"/>
      <c r="Z319" s="35"/>
      <c r="AA319" s="35"/>
      <c r="AB319" s="104"/>
      <c r="AC319" s="35"/>
      <c r="AD319" s="35"/>
      <c r="AE319" s="35"/>
      <c r="AF319" s="35"/>
      <c r="AG319" s="35"/>
      <c r="AH319" s="35"/>
      <c r="AI319" s="35"/>
      <c r="AJ319" s="35"/>
      <c r="AK319" s="36"/>
      <c r="AL319" s="36"/>
      <c r="AM319" s="36"/>
      <c r="AN319" s="36"/>
      <c r="AO319" s="36"/>
      <c r="AP319" s="36"/>
      <c r="AQ319" s="36"/>
      <c r="AR319" s="36"/>
      <c r="AS319" s="36"/>
      <c r="AT319" s="36"/>
      <c r="AU319" s="36"/>
      <c r="AV319" s="36"/>
      <c r="AW319" s="36"/>
      <c r="AX319" s="36"/>
      <c r="AY319" s="36"/>
      <c r="AZ319" s="36"/>
      <c r="BA319" s="36"/>
      <c r="BB319" s="36"/>
    </row>
    <row r="320" spans="2:54" s="30" customFormat="1" ht="30" x14ac:dyDescent="0.2">
      <c r="B320" s="151" t="s">
        <v>660</v>
      </c>
      <c r="C320" s="475" t="s">
        <v>253</v>
      </c>
      <c r="D320" s="476"/>
      <c r="G320" s="152"/>
      <c r="H320" s="81" t="s">
        <v>5</v>
      </c>
      <c r="J320" s="169" t="s">
        <v>395</v>
      </c>
      <c r="K320" s="92" t="str">
        <f>IFERROR(IF(ISNUMBER(L320),L320,(VLOOKUP(C321,Kalusto!$C$45:$G$84,5,FALSE)*(VLOOKUP(C322,Muut!$D$40:$E$43,2,FALSE)))),"--")</f>
        <v>--</v>
      </c>
      <c r="L320" s="39"/>
      <c r="M320" s="40" t="s">
        <v>184</v>
      </c>
      <c r="N320" s="40"/>
      <c r="O320" s="250"/>
      <c r="Q320" s="34"/>
      <c r="R320" s="48" t="str">
        <f>IF(ISNUMBER(Y321*X321*K320),Y321*X321*K320,"")</f>
        <v/>
      </c>
      <c r="S320" s="98" t="s">
        <v>160</v>
      </c>
      <c r="T320" s="35" t="s">
        <v>400</v>
      </c>
      <c r="U320" s="35" t="s">
        <v>349</v>
      </c>
      <c r="V320" s="35" t="s">
        <v>397</v>
      </c>
      <c r="W320" s="35" t="s">
        <v>398</v>
      </c>
      <c r="X320" s="35" t="s">
        <v>401</v>
      </c>
      <c r="Y320" s="35" t="s">
        <v>403</v>
      </c>
      <c r="Z320" s="35" t="s">
        <v>339</v>
      </c>
      <c r="AA320" s="35"/>
      <c r="AB320" s="104"/>
      <c r="AC320" s="35"/>
      <c r="AD320" s="35"/>
      <c r="AE320" s="35"/>
      <c r="AF320" s="35"/>
      <c r="AG320" s="35"/>
      <c r="AH320" s="35"/>
      <c r="AI320" s="35"/>
      <c r="AJ320" s="35"/>
      <c r="AK320" s="36"/>
      <c r="AL320" s="36"/>
      <c r="AM320" s="36"/>
      <c r="AN320" s="36"/>
      <c r="AO320" s="36"/>
      <c r="AP320" s="36"/>
      <c r="AQ320" s="36"/>
      <c r="AR320" s="36"/>
      <c r="AS320" s="36"/>
      <c r="AT320" s="36"/>
      <c r="AU320" s="36"/>
      <c r="AV320" s="36"/>
      <c r="AW320" s="36"/>
      <c r="AX320" s="36"/>
      <c r="AY320" s="36"/>
      <c r="AZ320" s="36"/>
      <c r="BA320" s="36"/>
      <c r="BB320" s="36"/>
    </row>
    <row r="321" spans="2:54" s="30" customFormat="1" ht="15" x14ac:dyDescent="0.2">
      <c r="B321" s="76" t="s">
        <v>342</v>
      </c>
      <c r="C321" s="471" t="s">
        <v>298</v>
      </c>
      <c r="D321" s="472"/>
      <c r="E321" s="472"/>
      <c r="F321" s="472"/>
      <c r="G321" s="473"/>
      <c r="H321" s="165"/>
      <c r="J321" s="32"/>
      <c r="K321" s="37" t="s">
        <v>297</v>
      </c>
      <c r="L321" s="37" t="s">
        <v>185</v>
      </c>
      <c r="M321" s="40"/>
      <c r="N321" s="40"/>
      <c r="O321" s="250"/>
      <c r="Q321" s="45"/>
      <c r="R321" s="104"/>
      <c r="S321" s="35"/>
      <c r="T321" s="46" t="str">
        <f>IFERROR(IF(ISNUMBER(L320),"Kohdetieto",VLOOKUP(C321,Kalusto!$C$45:$L$84,7,FALSE)),"--")</f>
        <v>--</v>
      </c>
      <c r="U321" s="46" t="str">
        <f>IFERROR(IF(ISNUMBER(L320),"Kohdetieto",VLOOKUP(C321,Kalusto!$C$45:$L$84,8,FALSE)),"--")</f>
        <v>--</v>
      </c>
      <c r="V321" s="47" t="str">
        <f>IFERROR(IF(ISNUMBER(L320),"Kohdetieto",VLOOKUP(C321,Kalusto!$C$45:$L$84,9,FALSE)),"--")</f>
        <v>--</v>
      </c>
      <c r="W321" s="47" t="str">
        <f>IFERROR(IF(ISNUMBER(L320),"Kohdetieto",VLOOKUP(C321,Kalusto!$C$45:$L$84,10,FALSE)),"--")</f>
        <v>--</v>
      </c>
      <c r="X321" s="48" t="str">
        <f>IF(ISBLANK(C319),"",C319/1000)</f>
        <v/>
      </c>
      <c r="Y321" s="46" t="str">
        <f>IF(ISNUMBER(G320),G320,"")</f>
        <v/>
      </c>
      <c r="Z321" s="49" t="str">
        <f>IF(ISNUMBER(L320),L320,K320)</f>
        <v>--</v>
      </c>
      <c r="AA321" s="35"/>
      <c r="AB321" s="104"/>
      <c r="AC321" s="35"/>
      <c r="AD321" s="35"/>
      <c r="AE321" s="35"/>
      <c r="AF321" s="35"/>
      <c r="AG321" s="35"/>
      <c r="AH321" s="35"/>
      <c r="AI321" s="35"/>
      <c r="AJ321" s="35"/>
      <c r="AK321" s="36"/>
      <c r="AL321" s="36"/>
      <c r="AM321" s="36"/>
      <c r="AN321" s="36"/>
      <c r="AO321" s="36"/>
      <c r="AP321" s="36"/>
      <c r="AQ321" s="36"/>
      <c r="AR321" s="36"/>
      <c r="AS321" s="36"/>
      <c r="AT321" s="36"/>
      <c r="AU321" s="36"/>
      <c r="AV321" s="36"/>
      <c r="AW321" s="36"/>
      <c r="AX321" s="36"/>
      <c r="AY321" s="36"/>
      <c r="AZ321" s="36"/>
      <c r="BA321" s="36"/>
      <c r="BB321" s="36"/>
    </row>
    <row r="322" spans="2:54" s="30" customFormat="1" ht="15" x14ac:dyDescent="0.2">
      <c r="B322" s="76" t="s">
        <v>457</v>
      </c>
      <c r="C322" s="156" t="s">
        <v>309</v>
      </c>
      <c r="D322" s="33"/>
      <c r="E322" s="33"/>
      <c r="F322" s="33"/>
      <c r="G322" s="33"/>
      <c r="H322" s="57"/>
      <c r="J322" s="169"/>
      <c r="K322" s="169"/>
      <c r="L322" s="169"/>
      <c r="M322" s="40"/>
      <c r="N322" s="40"/>
      <c r="O322" s="250"/>
      <c r="Q322" s="45"/>
      <c r="R322" s="35"/>
      <c r="S322" s="35"/>
      <c r="T322" s="35"/>
      <c r="U322" s="35"/>
      <c r="V322" s="177"/>
      <c r="W322" s="177"/>
      <c r="X322" s="59"/>
      <c r="Y322" s="35"/>
      <c r="Z322" s="59"/>
      <c r="AA322" s="178"/>
      <c r="AB322" s="59"/>
      <c r="AC322" s="59"/>
      <c r="AD322" s="59"/>
      <c r="AE322" s="59"/>
      <c r="AF322" s="178"/>
      <c r="AG322" s="59"/>
      <c r="AH322" s="104"/>
      <c r="AI322" s="35"/>
      <c r="AJ322" s="35"/>
      <c r="AK322" s="36"/>
      <c r="AL322" s="36"/>
      <c r="AM322" s="36"/>
      <c r="AN322" s="36"/>
      <c r="AO322" s="36"/>
      <c r="AP322" s="36"/>
      <c r="AQ322" s="36"/>
      <c r="AR322" s="36"/>
      <c r="AS322" s="36"/>
      <c r="AT322" s="36"/>
      <c r="AU322" s="36"/>
      <c r="AV322" s="36"/>
      <c r="AW322" s="36"/>
      <c r="AX322" s="36"/>
      <c r="AY322" s="36"/>
      <c r="AZ322" s="36"/>
      <c r="BA322" s="36"/>
      <c r="BB322" s="36"/>
    </row>
    <row r="323" spans="2:54" s="30" customFormat="1" ht="15" x14ac:dyDescent="0.2">
      <c r="B323" s="151" t="s">
        <v>491</v>
      </c>
      <c r="C323" s="474" t="s">
        <v>739</v>
      </c>
      <c r="D323" s="474"/>
      <c r="G323" s="152"/>
      <c r="H323" s="81" t="s">
        <v>5</v>
      </c>
      <c r="J323" s="32" t="str">
        <f>IFERROR(VLOOKUP(C323,Kalusto!$B$107:$C$110,2,FALSE),"Valitse kuljetustapa")</f>
        <v>Valitse kuljetustapa</v>
      </c>
      <c r="K323" s="92" t="str">
        <f>IFERROR(IF(ISNUMBER(L323),L323,VLOOKUP(J323,Kalusto!$C$107:$G$110,5,FALSE)),"--")</f>
        <v>--</v>
      </c>
      <c r="L323" s="39"/>
      <c r="M323" s="40" t="s">
        <v>184</v>
      </c>
      <c r="N323" s="40"/>
      <c r="O323" s="250"/>
      <c r="Q323" s="34"/>
      <c r="R323" s="48" t="str">
        <f>IF(AND(ISNUMBER(G323)*ISNUMBER(C$319)),K323*G323*X321,"")</f>
        <v/>
      </c>
      <c r="S323" s="98" t="s">
        <v>160</v>
      </c>
      <c r="T323" s="35"/>
      <c r="U323" s="35"/>
      <c r="V323" s="35"/>
      <c r="W323" s="35"/>
      <c r="X323" s="35"/>
      <c r="Y323" s="35"/>
      <c r="Z323" s="35"/>
      <c r="AA323" s="35"/>
      <c r="AB323" s="104"/>
      <c r="AC323" s="35"/>
      <c r="AD323" s="35"/>
      <c r="AE323" s="35"/>
      <c r="AF323" s="35"/>
      <c r="AG323" s="35"/>
      <c r="AH323" s="35"/>
      <c r="AI323" s="35"/>
      <c r="AJ323" s="35"/>
      <c r="AK323" s="36"/>
      <c r="AL323" s="36"/>
      <c r="AM323" s="36"/>
      <c r="AN323" s="36"/>
      <c r="AO323" s="36"/>
      <c r="AP323" s="36"/>
      <c r="AQ323" s="36"/>
      <c r="AR323" s="36"/>
      <c r="AS323" s="36"/>
      <c r="AT323" s="36"/>
      <c r="AU323" s="36"/>
      <c r="AV323" s="36"/>
      <c r="AW323" s="36"/>
      <c r="AX323" s="36"/>
      <c r="AY323" s="36"/>
      <c r="AZ323" s="36"/>
      <c r="BA323" s="36"/>
      <c r="BB323" s="36"/>
    </row>
    <row r="324" spans="2:54" s="30" customFormat="1" ht="15" x14ac:dyDescent="0.2">
      <c r="B324" s="151" t="s">
        <v>491</v>
      </c>
      <c r="C324" s="474" t="s">
        <v>739</v>
      </c>
      <c r="D324" s="474"/>
      <c r="G324" s="152"/>
      <c r="H324" s="81" t="s">
        <v>5</v>
      </c>
      <c r="J324" s="32" t="str">
        <f>IFERROR(VLOOKUP(C324,Kalusto!$B$107:$C$110,2,FALSE),"Valitse kuljetustapa")</f>
        <v>Valitse kuljetustapa</v>
      </c>
      <c r="K324" s="92" t="str">
        <f>IFERROR(IF(ISNUMBER(L324),L324,VLOOKUP(J324,Kalusto!$C$107:$G$110,5,FALSE)),"--")</f>
        <v>--</v>
      </c>
      <c r="L324" s="39"/>
      <c r="M324" s="40" t="s">
        <v>184</v>
      </c>
      <c r="N324" s="40"/>
      <c r="O324" s="250"/>
      <c r="Q324" s="34"/>
      <c r="R324" s="48" t="str">
        <f t="shared" ref="R324:R325" si="4">IF(AND(ISNUMBER(G324)*ISNUMBER(C$319)),K324*G324*X322,"")</f>
        <v/>
      </c>
      <c r="S324" s="98" t="s">
        <v>160</v>
      </c>
      <c r="T324" s="35"/>
      <c r="U324" s="35"/>
      <c r="V324" s="35"/>
      <c r="W324" s="35"/>
      <c r="X324" s="35"/>
      <c r="Y324" s="35"/>
      <c r="Z324" s="35"/>
      <c r="AA324" s="35"/>
      <c r="AB324" s="104"/>
      <c r="AC324" s="35"/>
      <c r="AD324" s="35"/>
      <c r="AE324" s="35"/>
      <c r="AF324" s="35"/>
      <c r="AG324" s="35"/>
      <c r="AH324" s="35"/>
      <c r="AI324" s="35"/>
      <c r="AJ324" s="35"/>
      <c r="AK324" s="36"/>
      <c r="AL324" s="36"/>
      <c r="AM324" s="36"/>
      <c r="AN324" s="36"/>
      <c r="AO324" s="36"/>
      <c r="AP324" s="36"/>
      <c r="AQ324" s="36"/>
      <c r="AR324" s="36"/>
      <c r="AS324" s="36"/>
      <c r="AT324" s="36"/>
      <c r="AU324" s="36"/>
      <c r="AV324" s="36"/>
      <c r="AW324" s="36"/>
      <c r="AX324" s="36"/>
      <c r="AY324" s="36"/>
      <c r="AZ324" s="36"/>
      <c r="BA324" s="36"/>
      <c r="BB324" s="36"/>
    </row>
    <row r="325" spans="2:54" s="30" customFormat="1" ht="15" x14ac:dyDescent="0.2">
      <c r="B325" s="151" t="s">
        <v>491</v>
      </c>
      <c r="C325" s="474" t="s">
        <v>739</v>
      </c>
      <c r="D325" s="474"/>
      <c r="G325" s="152"/>
      <c r="H325" s="81" t="s">
        <v>5</v>
      </c>
      <c r="J325" s="32" t="str">
        <f>IFERROR(VLOOKUP(C325,Kalusto!$B$107:$C$110,2,FALSE),"Valitse kuljetustapa")</f>
        <v>Valitse kuljetustapa</v>
      </c>
      <c r="K325" s="92" t="str">
        <f>IFERROR(IF(ISNUMBER(L325),L325,VLOOKUP(J325,Kalusto!$C$107:$G$110,5,FALSE)),"--")</f>
        <v>--</v>
      </c>
      <c r="L325" s="39"/>
      <c r="M325" s="40" t="s">
        <v>184</v>
      </c>
      <c r="N325" s="40"/>
      <c r="O325" s="250"/>
      <c r="Q325" s="34"/>
      <c r="R325" s="48" t="str">
        <f t="shared" si="4"/>
        <v/>
      </c>
      <c r="S325" s="98" t="s">
        <v>160</v>
      </c>
      <c r="T325" s="35"/>
      <c r="U325" s="35"/>
      <c r="V325" s="35"/>
      <c r="W325" s="35"/>
      <c r="X325" s="35"/>
      <c r="Y325" s="35"/>
      <c r="Z325" s="35"/>
      <c r="AA325" s="35"/>
      <c r="AB325" s="104"/>
      <c r="AC325" s="35"/>
      <c r="AD325" s="35"/>
      <c r="AE325" s="35"/>
      <c r="AF325" s="35"/>
      <c r="AG325" s="35"/>
      <c r="AH325" s="35"/>
      <c r="AI325" s="35"/>
      <c r="AJ325" s="35"/>
      <c r="AK325" s="36"/>
      <c r="AL325" s="36"/>
      <c r="AM325" s="36"/>
      <c r="AN325" s="36"/>
      <c r="AO325" s="36"/>
      <c r="AP325" s="36"/>
      <c r="AQ325" s="36"/>
      <c r="AR325" s="36"/>
      <c r="AS325" s="36"/>
      <c r="AT325" s="36"/>
      <c r="AU325" s="36"/>
      <c r="AV325" s="36"/>
      <c r="AW325" s="36"/>
      <c r="AX325" s="36"/>
      <c r="AY325" s="36"/>
      <c r="AZ325" s="36"/>
      <c r="BA325" s="36"/>
      <c r="BB325" s="36"/>
    </row>
    <row r="326" spans="2:54" s="30" customFormat="1" ht="15.75" x14ac:dyDescent="0.2">
      <c r="B326" s="8" t="str">
        <f>B290</f>
        <v>Kemikaali-, tuote- tai materiaalilaji 4</v>
      </c>
      <c r="C326" s="33"/>
      <c r="D326" s="81"/>
      <c r="G326" s="70"/>
      <c r="H326" s="81"/>
      <c r="J326" s="32"/>
      <c r="K326" s="33"/>
      <c r="L326" s="33"/>
      <c r="M326" s="81"/>
      <c r="N326" s="81"/>
      <c r="O326" s="251"/>
      <c r="Q326" s="34"/>
      <c r="R326" s="35" t="s">
        <v>318</v>
      </c>
      <c r="S326" s="35"/>
      <c r="T326" s="35"/>
      <c r="U326" s="35"/>
      <c r="V326" s="35"/>
      <c r="W326" s="35"/>
      <c r="X326" s="35"/>
      <c r="Y326" s="35"/>
      <c r="Z326" s="35"/>
      <c r="AA326" s="35"/>
      <c r="AB326" s="104"/>
      <c r="AC326" s="35"/>
      <c r="AD326" s="35"/>
      <c r="AE326" s="35"/>
      <c r="AF326" s="35"/>
      <c r="AG326" s="35"/>
      <c r="AH326" s="35"/>
      <c r="AI326" s="35"/>
      <c r="AJ326" s="35"/>
      <c r="AK326" s="36"/>
      <c r="AL326" s="36"/>
      <c r="AM326" s="36"/>
      <c r="AN326" s="36"/>
      <c r="AO326" s="36"/>
      <c r="AP326" s="36"/>
      <c r="AQ326" s="36"/>
      <c r="AR326" s="36"/>
      <c r="AS326" s="36"/>
      <c r="AT326" s="36"/>
      <c r="AU326" s="36"/>
      <c r="AV326" s="36"/>
      <c r="AW326" s="36"/>
      <c r="AX326" s="36"/>
      <c r="AY326" s="36"/>
      <c r="AZ326" s="36"/>
      <c r="BA326" s="36"/>
      <c r="BB326" s="36"/>
    </row>
    <row r="327" spans="2:54" s="30" customFormat="1" ht="15" x14ac:dyDescent="0.2">
      <c r="B327" s="52" t="s">
        <v>340</v>
      </c>
      <c r="C327" s="156"/>
      <c r="D327" s="81" t="s">
        <v>252</v>
      </c>
      <c r="G327" s="33"/>
      <c r="H327" s="81"/>
      <c r="J327" s="32"/>
      <c r="K327" s="37" t="s">
        <v>297</v>
      </c>
      <c r="L327" s="37" t="s">
        <v>185</v>
      </c>
      <c r="M327" s="81"/>
      <c r="N327" s="81"/>
      <c r="O327" s="251"/>
      <c r="Q327" s="34"/>
      <c r="R327" s="48" t="str">
        <f>IF(AND(ISNUMBER(G328),ISNUMBER(C327)),SUM(R328,R331:R333),"")</f>
        <v/>
      </c>
      <c r="S327" s="98" t="s">
        <v>160</v>
      </c>
      <c r="T327" s="35"/>
      <c r="U327" s="35"/>
      <c r="V327" s="35"/>
      <c r="W327" s="35"/>
      <c r="X327" s="35"/>
      <c r="Y327" s="35"/>
      <c r="Z327" s="35"/>
      <c r="AA327" s="35"/>
      <c r="AB327" s="104"/>
      <c r="AC327" s="35"/>
      <c r="AD327" s="35"/>
      <c r="AE327" s="35"/>
      <c r="AF327" s="35"/>
      <c r="AG327" s="35"/>
      <c r="AH327" s="35"/>
      <c r="AI327" s="35"/>
      <c r="AJ327" s="35"/>
      <c r="AK327" s="36"/>
      <c r="AL327" s="36"/>
      <c r="AM327" s="36"/>
      <c r="AN327" s="36"/>
      <c r="AO327" s="36"/>
      <c r="AP327" s="36"/>
      <c r="AQ327" s="36"/>
      <c r="AR327" s="36"/>
      <c r="AS327" s="36"/>
      <c r="AT327" s="36"/>
      <c r="AU327" s="36"/>
      <c r="AV327" s="36"/>
      <c r="AW327" s="36"/>
      <c r="AX327" s="36"/>
      <c r="AY327" s="36"/>
      <c r="AZ327" s="36"/>
      <c r="BA327" s="36"/>
      <c r="BB327" s="36"/>
    </row>
    <row r="328" spans="2:54" s="30" customFormat="1" ht="30" x14ac:dyDescent="0.2">
      <c r="B328" s="151" t="s">
        <v>660</v>
      </c>
      <c r="C328" s="475" t="s">
        <v>253</v>
      </c>
      <c r="D328" s="476"/>
      <c r="G328" s="152"/>
      <c r="H328" s="81" t="s">
        <v>5</v>
      </c>
      <c r="J328" s="169" t="s">
        <v>395</v>
      </c>
      <c r="K328" s="92" t="str">
        <f>IFERROR(IF(ISNUMBER(L328),L328,(VLOOKUP(C329,Kalusto!$C$45:$G$84,5,FALSE)*(VLOOKUP(C330,Muut!$D$40:$E$43,2,FALSE)))),"--")</f>
        <v>--</v>
      </c>
      <c r="L328" s="39"/>
      <c r="M328" s="40" t="s">
        <v>184</v>
      </c>
      <c r="N328" s="40"/>
      <c r="O328" s="250"/>
      <c r="Q328" s="34"/>
      <c r="R328" s="48" t="str">
        <f>IF(ISNUMBER(Y329*X329*K328),Y329*X329*K328,"")</f>
        <v/>
      </c>
      <c r="S328" s="98" t="s">
        <v>160</v>
      </c>
      <c r="T328" s="35" t="s">
        <v>400</v>
      </c>
      <c r="U328" s="35" t="s">
        <v>349</v>
      </c>
      <c r="V328" s="35" t="s">
        <v>397</v>
      </c>
      <c r="W328" s="35" t="s">
        <v>398</v>
      </c>
      <c r="X328" s="35" t="s">
        <v>401</v>
      </c>
      <c r="Y328" s="35" t="s">
        <v>403</v>
      </c>
      <c r="Z328" s="35" t="s">
        <v>339</v>
      </c>
      <c r="AA328" s="35"/>
      <c r="AB328" s="104"/>
      <c r="AC328" s="35"/>
      <c r="AD328" s="35"/>
      <c r="AE328" s="35"/>
      <c r="AF328" s="35"/>
      <c r="AG328" s="35"/>
      <c r="AH328" s="35"/>
      <c r="AI328" s="35"/>
      <c r="AJ328" s="35"/>
      <c r="AK328" s="36"/>
      <c r="AL328" s="36"/>
      <c r="AM328" s="36"/>
      <c r="AN328" s="36"/>
      <c r="AO328" s="36"/>
      <c r="AP328" s="36"/>
      <c r="AQ328" s="36"/>
      <c r="AR328" s="36"/>
      <c r="AS328" s="36"/>
      <c r="AT328" s="36"/>
      <c r="AU328" s="36"/>
      <c r="AV328" s="36"/>
      <c r="AW328" s="36"/>
      <c r="AX328" s="36"/>
      <c r="AY328" s="36"/>
      <c r="AZ328" s="36"/>
      <c r="BA328" s="36"/>
      <c r="BB328" s="36"/>
    </row>
    <row r="329" spans="2:54" s="30" customFormat="1" ht="15" x14ac:dyDescent="0.2">
      <c r="B329" s="76" t="s">
        <v>342</v>
      </c>
      <c r="C329" s="471" t="s">
        <v>298</v>
      </c>
      <c r="D329" s="472"/>
      <c r="E329" s="472"/>
      <c r="F329" s="472"/>
      <c r="G329" s="473"/>
      <c r="J329" s="32"/>
      <c r="K329" s="37" t="s">
        <v>297</v>
      </c>
      <c r="L329" s="37" t="s">
        <v>185</v>
      </c>
      <c r="M329" s="40"/>
      <c r="N329" s="40"/>
      <c r="O329" s="250"/>
      <c r="Q329" s="45"/>
      <c r="R329" s="104"/>
      <c r="S329" s="35"/>
      <c r="T329" s="46" t="str">
        <f>IFERROR(IF(ISNUMBER(L328),"Kohdetieto",VLOOKUP(C329,Kalusto!$C$45:$L$84,7,FALSE)),"--")</f>
        <v>--</v>
      </c>
      <c r="U329" s="46" t="str">
        <f>IFERROR(IF(ISNUMBER(L328),"Kohdetieto",VLOOKUP(C329,Kalusto!$C$45:$L$84,8,FALSE)),"--")</f>
        <v>--</v>
      </c>
      <c r="V329" s="47" t="str">
        <f>IFERROR(IF(ISNUMBER(L328),"Kohdetieto",VLOOKUP(C329,Kalusto!$C$45:$L$84,9,FALSE)),"--")</f>
        <v>--</v>
      </c>
      <c r="W329" s="47" t="str">
        <f>IFERROR(IF(ISNUMBER(L328),"Kohdetieto",VLOOKUP(C329,Kalusto!$C$45:$L$84,10,FALSE)),"--")</f>
        <v>--</v>
      </c>
      <c r="X329" s="48" t="str">
        <f>IF(ISBLANK(C327),"",C327/1000)</f>
        <v/>
      </c>
      <c r="Y329" s="46" t="str">
        <f>IF(ISNUMBER(G328),G328,"")</f>
        <v/>
      </c>
      <c r="Z329" s="49" t="str">
        <f>IF(ISNUMBER(L328),L328,K328)</f>
        <v>--</v>
      </c>
      <c r="AA329" s="35"/>
      <c r="AB329" s="104"/>
      <c r="AC329" s="35"/>
      <c r="AD329" s="35"/>
      <c r="AE329" s="35"/>
      <c r="AF329" s="35"/>
      <c r="AG329" s="35"/>
      <c r="AH329" s="35"/>
      <c r="AI329" s="35"/>
      <c r="AJ329" s="35"/>
      <c r="AK329" s="36"/>
      <c r="AL329" s="36"/>
      <c r="AM329" s="36"/>
      <c r="AN329" s="36"/>
      <c r="AO329" s="36"/>
      <c r="AP329" s="36"/>
      <c r="AQ329" s="36"/>
      <c r="AR329" s="36"/>
      <c r="AS329" s="36"/>
      <c r="AT329" s="36"/>
      <c r="AU329" s="36"/>
      <c r="AV329" s="36"/>
      <c r="AW329" s="36"/>
      <c r="AX329" s="36"/>
      <c r="AY329" s="36"/>
      <c r="AZ329" s="36"/>
      <c r="BA329" s="36"/>
      <c r="BB329" s="36"/>
    </row>
    <row r="330" spans="2:54" s="30" customFormat="1" ht="15" x14ac:dyDescent="0.2">
      <c r="B330" s="76" t="s">
        <v>457</v>
      </c>
      <c r="C330" s="156" t="s">
        <v>309</v>
      </c>
      <c r="D330" s="33"/>
      <c r="E330" s="33"/>
      <c r="F330" s="33"/>
      <c r="G330" s="33"/>
      <c r="H330" s="57"/>
      <c r="J330" s="169"/>
      <c r="K330" s="169"/>
      <c r="L330" s="169"/>
      <c r="M330" s="40"/>
      <c r="N330" s="40"/>
      <c r="O330" s="250"/>
      <c r="Q330" s="45"/>
      <c r="R330" s="35"/>
      <c r="S330" s="35"/>
      <c r="T330" s="35"/>
      <c r="U330" s="35"/>
      <c r="V330" s="177"/>
      <c r="W330" s="177"/>
      <c r="X330" s="59"/>
      <c r="Y330" s="35"/>
      <c r="Z330" s="59"/>
      <c r="AA330" s="178"/>
      <c r="AB330" s="59"/>
      <c r="AC330" s="59"/>
      <c r="AD330" s="59"/>
      <c r="AE330" s="59"/>
      <c r="AF330" s="178"/>
      <c r="AG330" s="59"/>
      <c r="AH330" s="104"/>
      <c r="AI330" s="35"/>
      <c r="AJ330" s="35"/>
      <c r="AK330" s="36"/>
      <c r="AL330" s="36"/>
      <c r="AM330" s="36"/>
      <c r="AN330" s="36"/>
      <c r="AO330" s="36"/>
      <c r="AP330" s="36"/>
      <c r="AQ330" s="36"/>
      <c r="AR330" s="36"/>
      <c r="AS330" s="36"/>
      <c r="AT330" s="36"/>
      <c r="AU330" s="36"/>
      <c r="AV330" s="36"/>
      <c r="AW330" s="36"/>
      <c r="AX330" s="36"/>
      <c r="AY330" s="36"/>
      <c r="AZ330" s="36"/>
      <c r="BA330" s="36"/>
      <c r="BB330" s="36"/>
    </row>
    <row r="331" spans="2:54" s="30" customFormat="1" ht="15" x14ac:dyDescent="0.2">
      <c r="B331" s="151" t="s">
        <v>492</v>
      </c>
      <c r="C331" s="474" t="s">
        <v>739</v>
      </c>
      <c r="D331" s="474"/>
      <c r="G331" s="152"/>
      <c r="H331" s="81" t="s">
        <v>5</v>
      </c>
      <c r="J331" s="32" t="str">
        <f>IFERROR(VLOOKUP(C331,Kalusto!$B$107:$C$110,2,FALSE),"Valitse kuljetustapa")</f>
        <v>Valitse kuljetustapa</v>
      </c>
      <c r="K331" s="92" t="str">
        <f>IFERROR(IF(ISNUMBER(L331),L331,VLOOKUP(J331,Kalusto!$C$107:$G$110,5,FALSE)),"--")</f>
        <v>--</v>
      </c>
      <c r="L331" s="39"/>
      <c r="M331" s="40" t="s">
        <v>184</v>
      </c>
      <c r="N331" s="40"/>
      <c r="O331" s="250"/>
      <c r="Q331" s="34"/>
      <c r="R331" s="48" t="str">
        <f>IF(AND(ISNUMBER(G331)*ISNUMBER(C$327)),K331*G331*X329,"")</f>
        <v/>
      </c>
      <c r="S331" s="98" t="s">
        <v>160</v>
      </c>
      <c r="T331" s="35"/>
      <c r="U331" s="35"/>
      <c r="V331" s="35"/>
      <c r="W331" s="35"/>
      <c r="X331" s="35"/>
      <c r="Y331" s="35"/>
      <c r="Z331" s="35"/>
      <c r="AA331" s="35"/>
      <c r="AB331" s="104"/>
      <c r="AC331" s="35"/>
      <c r="AD331" s="35"/>
      <c r="AE331" s="35"/>
      <c r="AF331" s="35"/>
      <c r="AG331" s="35"/>
      <c r="AH331" s="35"/>
      <c r="AI331" s="35"/>
      <c r="AJ331" s="35"/>
      <c r="AK331" s="36"/>
      <c r="AL331" s="36"/>
      <c r="AM331" s="36"/>
      <c r="AN331" s="36"/>
      <c r="AO331" s="36"/>
      <c r="AP331" s="36"/>
      <c r="AQ331" s="36"/>
      <c r="AR331" s="36"/>
      <c r="AS331" s="36"/>
      <c r="AT331" s="36"/>
      <c r="AU331" s="36"/>
      <c r="AV331" s="36"/>
      <c r="AW331" s="36"/>
      <c r="AX331" s="36"/>
      <c r="AY331" s="36"/>
      <c r="AZ331" s="36"/>
      <c r="BA331" s="36"/>
      <c r="BB331" s="36"/>
    </row>
    <row r="332" spans="2:54" s="30" customFormat="1" ht="15" x14ac:dyDescent="0.2">
      <c r="B332" s="151" t="s">
        <v>492</v>
      </c>
      <c r="C332" s="474" t="s">
        <v>739</v>
      </c>
      <c r="D332" s="474"/>
      <c r="G332" s="152"/>
      <c r="H332" s="81" t="s">
        <v>5</v>
      </c>
      <c r="J332" s="32" t="str">
        <f>IFERROR(VLOOKUP(C332,Kalusto!$B$107:$C$110,2,FALSE),"Valitse kuljetustapa")</f>
        <v>Valitse kuljetustapa</v>
      </c>
      <c r="K332" s="92" t="str">
        <f>IFERROR(IF(ISNUMBER(L332),L332,VLOOKUP(J332,Kalusto!$C$107:$G$110,5,FALSE)),"--")</f>
        <v>--</v>
      </c>
      <c r="L332" s="39"/>
      <c r="M332" s="40" t="s">
        <v>184</v>
      </c>
      <c r="N332" s="40"/>
      <c r="O332" s="250"/>
      <c r="Q332" s="34"/>
      <c r="R332" s="48" t="str">
        <f t="shared" ref="R332:R333" si="5">IF(AND(ISNUMBER(G332)*ISNUMBER(C$327)),K332*G332*X330,"")</f>
        <v/>
      </c>
      <c r="S332" s="98" t="s">
        <v>160</v>
      </c>
      <c r="T332" s="35"/>
      <c r="U332" s="35"/>
      <c r="V332" s="35"/>
      <c r="W332" s="35"/>
      <c r="X332" s="35"/>
      <c r="Y332" s="35"/>
      <c r="Z332" s="35"/>
      <c r="AA332" s="35"/>
      <c r="AB332" s="104"/>
      <c r="AC332" s="35"/>
      <c r="AD332" s="35"/>
      <c r="AE332" s="35"/>
      <c r="AF332" s="35"/>
      <c r="AG332" s="35"/>
      <c r="AH332" s="35"/>
      <c r="AI332" s="35"/>
      <c r="AJ332" s="35"/>
      <c r="AK332" s="36"/>
      <c r="AL332" s="36"/>
      <c r="AM332" s="36"/>
      <c r="AN332" s="36"/>
      <c r="AO332" s="36"/>
      <c r="AP332" s="36"/>
      <c r="AQ332" s="36"/>
      <c r="AR332" s="36"/>
      <c r="AS332" s="36"/>
      <c r="AT332" s="36"/>
      <c r="AU332" s="36"/>
      <c r="AV332" s="36"/>
      <c r="AW332" s="36"/>
      <c r="AX332" s="36"/>
      <c r="AY332" s="36"/>
      <c r="AZ332" s="36"/>
      <c r="BA332" s="36"/>
      <c r="BB332" s="36"/>
    </row>
    <row r="333" spans="2:54" s="30" customFormat="1" ht="15" x14ac:dyDescent="0.2">
      <c r="B333" s="151" t="s">
        <v>492</v>
      </c>
      <c r="C333" s="474" t="s">
        <v>739</v>
      </c>
      <c r="D333" s="474"/>
      <c r="G333" s="152"/>
      <c r="H333" s="81" t="s">
        <v>5</v>
      </c>
      <c r="J333" s="32" t="str">
        <f>IFERROR(VLOOKUP(C333,Kalusto!$B$107:$C$110,2,FALSE),"Valitse kuljetustapa")</f>
        <v>Valitse kuljetustapa</v>
      </c>
      <c r="K333" s="92" t="str">
        <f>IFERROR(IF(ISNUMBER(L333),L333,VLOOKUP(J333,Kalusto!$C$107:$G$110,5,FALSE)),"--")</f>
        <v>--</v>
      </c>
      <c r="L333" s="39"/>
      <c r="M333" s="40" t="s">
        <v>184</v>
      </c>
      <c r="N333" s="40"/>
      <c r="O333" s="250"/>
      <c r="Q333" s="34"/>
      <c r="R333" s="48" t="str">
        <f t="shared" si="5"/>
        <v/>
      </c>
      <c r="S333" s="98" t="s">
        <v>160</v>
      </c>
      <c r="T333" s="35"/>
      <c r="U333" s="35"/>
      <c r="V333" s="35"/>
      <c r="W333" s="35"/>
      <c r="X333" s="35"/>
      <c r="Y333" s="35"/>
      <c r="Z333" s="35"/>
      <c r="AA333" s="35"/>
      <c r="AB333" s="104"/>
      <c r="AC333" s="35"/>
      <c r="AD333" s="35"/>
      <c r="AE333" s="35"/>
      <c r="AF333" s="35"/>
      <c r="AG333" s="35"/>
      <c r="AH333" s="35"/>
      <c r="AI333" s="35"/>
      <c r="AJ333" s="35"/>
      <c r="AK333" s="36"/>
      <c r="AL333" s="36"/>
      <c r="AM333" s="36"/>
      <c r="AN333" s="36"/>
      <c r="AO333" s="36"/>
      <c r="AP333" s="36"/>
      <c r="AQ333" s="36"/>
      <c r="AR333" s="36"/>
      <c r="AS333" s="36"/>
      <c r="AT333" s="36"/>
      <c r="AU333" s="36"/>
      <c r="AV333" s="36"/>
      <c r="AW333" s="36"/>
      <c r="AX333" s="36"/>
      <c r="AY333" s="36"/>
      <c r="AZ333" s="36"/>
      <c r="BA333" s="36"/>
      <c r="BB333" s="36"/>
    </row>
    <row r="334" spans="2:54" s="30" customFormat="1" ht="15.75" x14ac:dyDescent="0.2">
      <c r="B334" s="8" t="str">
        <f>B293</f>
        <v>Kemikaali-, tuote- tai materiaalilaji 5</v>
      </c>
      <c r="C334" s="33"/>
      <c r="D334" s="81"/>
      <c r="G334" s="70"/>
      <c r="H334" s="81"/>
      <c r="J334" s="32"/>
      <c r="K334" s="33"/>
      <c r="L334" s="33"/>
      <c r="M334" s="81"/>
      <c r="N334" s="81"/>
      <c r="O334" s="251"/>
      <c r="Q334" s="34"/>
      <c r="R334" s="35" t="s">
        <v>318</v>
      </c>
      <c r="S334" s="35"/>
      <c r="T334" s="35"/>
      <c r="U334" s="35"/>
      <c r="V334" s="35"/>
      <c r="W334" s="35"/>
      <c r="X334" s="35"/>
      <c r="Y334" s="35"/>
      <c r="Z334" s="35"/>
      <c r="AA334" s="35"/>
      <c r="AB334" s="104"/>
      <c r="AC334" s="35"/>
      <c r="AD334" s="35"/>
      <c r="AE334" s="35"/>
      <c r="AF334" s="35"/>
      <c r="AG334" s="35"/>
      <c r="AH334" s="35"/>
      <c r="AI334" s="35"/>
      <c r="AJ334" s="35"/>
      <c r="AK334" s="36"/>
      <c r="AL334" s="36"/>
      <c r="AM334" s="36"/>
      <c r="AN334" s="36"/>
      <c r="AO334" s="36"/>
      <c r="AP334" s="36"/>
      <c r="AQ334" s="36"/>
      <c r="AR334" s="36"/>
      <c r="AS334" s="36"/>
      <c r="AT334" s="36"/>
      <c r="AU334" s="36"/>
      <c r="AV334" s="36"/>
      <c r="AW334" s="36"/>
      <c r="AX334" s="36"/>
      <c r="AY334" s="36"/>
      <c r="AZ334" s="36"/>
      <c r="BA334" s="36"/>
      <c r="BB334" s="36"/>
    </row>
    <row r="335" spans="2:54" s="30" customFormat="1" ht="15" x14ac:dyDescent="0.2">
      <c r="B335" s="52" t="s">
        <v>256</v>
      </c>
      <c r="C335" s="156"/>
      <c r="D335" s="81" t="s">
        <v>252</v>
      </c>
      <c r="G335" s="33"/>
      <c r="H335" s="81"/>
      <c r="J335" s="32"/>
      <c r="K335" s="37" t="s">
        <v>297</v>
      </c>
      <c r="L335" s="37" t="s">
        <v>185</v>
      </c>
      <c r="M335" s="81"/>
      <c r="N335" s="81"/>
      <c r="O335" s="251"/>
      <c r="Q335" s="34"/>
      <c r="R335" s="48" t="str">
        <f>IF(AND(ISNUMBER(G336),ISNUMBER(C335)),SUM(R336,R339:R341),"")</f>
        <v/>
      </c>
      <c r="S335" s="98" t="s">
        <v>160</v>
      </c>
      <c r="T335" s="35"/>
      <c r="U335" s="35"/>
      <c r="V335" s="35"/>
      <c r="W335" s="35"/>
      <c r="X335" s="35"/>
      <c r="Y335" s="35"/>
      <c r="Z335" s="35"/>
      <c r="AA335" s="35"/>
      <c r="AB335" s="104"/>
      <c r="AC335" s="35"/>
      <c r="AD335" s="35"/>
      <c r="AE335" s="35"/>
      <c r="AF335" s="35"/>
      <c r="AG335" s="35"/>
      <c r="AH335" s="35"/>
      <c r="AI335" s="35"/>
      <c r="AJ335" s="35"/>
      <c r="AK335" s="36"/>
      <c r="AL335" s="36"/>
      <c r="AM335" s="36"/>
      <c r="AN335" s="36"/>
      <c r="AO335" s="36"/>
      <c r="AP335" s="36"/>
      <c r="AQ335" s="36"/>
      <c r="AR335" s="36"/>
      <c r="AS335" s="36"/>
      <c r="AT335" s="36"/>
      <c r="AU335" s="36"/>
      <c r="AV335" s="36"/>
      <c r="AW335" s="36"/>
      <c r="AX335" s="36"/>
      <c r="AY335" s="36"/>
      <c r="AZ335" s="36"/>
      <c r="BA335" s="36"/>
      <c r="BB335" s="36"/>
    </row>
    <row r="336" spans="2:54" s="30" customFormat="1" ht="30" x14ac:dyDescent="0.2">
      <c r="B336" s="151" t="s">
        <v>660</v>
      </c>
      <c r="C336" s="475" t="s">
        <v>253</v>
      </c>
      <c r="D336" s="476"/>
      <c r="G336" s="152"/>
      <c r="H336" s="81" t="s">
        <v>5</v>
      </c>
      <c r="J336" s="169" t="s">
        <v>395</v>
      </c>
      <c r="K336" s="92" t="str">
        <f>IFERROR(IF(ISNUMBER(L336),L336,(VLOOKUP(C337,Kalusto!$C$45:$G$84,5,FALSE)*(VLOOKUP(C338,Muut!$D$40:$E$43,2,FALSE)))),"--")</f>
        <v>--</v>
      </c>
      <c r="L336" s="39"/>
      <c r="M336" s="40" t="s">
        <v>184</v>
      </c>
      <c r="N336" s="40"/>
      <c r="O336" s="250"/>
      <c r="Q336" s="34"/>
      <c r="R336" s="48" t="str">
        <f>IF(ISNUMBER(Y337*X337*K336),Y337*X337*K336,"")</f>
        <v/>
      </c>
      <c r="S336" s="98" t="s">
        <v>160</v>
      </c>
      <c r="T336" s="35" t="s">
        <v>400</v>
      </c>
      <c r="U336" s="35" t="s">
        <v>349</v>
      </c>
      <c r="V336" s="35" t="s">
        <v>397</v>
      </c>
      <c r="W336" s="35" t="s">
        <v>398</v>
      </c>
      <c r="X336" s="35" t="s">
        <v>401</v>
      </c>
      <c r="Y336" s="35" t="s">
        <v>403</v>
      </c>
      <c r="Z336" s="35" t="s">
        <v>339</v>
      </c>
      <c r="AA336" s="35"/>
      <c r="AB336" s="104"/>
      <c r="AC336" s="35"/>
      <c r="AD336" s="35"/>
      <c r="AE336" s="35"/>
      <c r="AF336" s="35"/>
      <c r="AG336" s="35"/>
      <c r="AH336" s="35"/>
      <c r="AI336" s="35"/>
      <c r="AJ336" s="35"/>
      <c r="AK336" s="36"/>
      <c r="AL336" s="36"/>
      <c r="AM336" s="36"/>
      <c r="AN336" s="36"/>
      <c r="AO336" s="36"/>
      <c r="AP336" s="36"/>
      <c r="AQ336" s="36"/>
      <c r="AR336" s="36"/>
      <c r="AS336" s="36"/>
      <c r="AT336" s="36"/>
      <c r="AU336" s="36"/>
      <c r="AV336" s="36"/>
      <c r="AW336" s="36"/>
      <c r="AX336" s="36"/>
      <c r="AY336" s="36"/>
      <c r="AZ336" s="36"/>
      <c r="BA336" s="36"/>
      <c r="BB336" s="36"/>
    </row>
    <row r="337" spans="1:56" s="30" customFormat="1" ht="15" x14ac:dyDescent="0.2">
      <c r="B337" s="76" t="s">
        <v>342</v>
      </c>
      <c r="C337" s="471" t="s">
        <v>298</v>
      </c>
      <c r="D337" s="472"/>
      <c r="E337" s="472"/>
      <c r="F337" s="472"/>
      <c r="G337" s="473"/>
      <c r="J337" s="32"/>
      <c r="K337" s="37" t="s">
        <v>297</v>
      </c>
      <c r="L337" s="37" t="s">
        <v>185</v>
      </c>
      <c r="M337" s="40"/>
      <c r="N337" s="40"/>
      <c r="O337" s="250"/>
      <c r="Q337" s="45"/>
      <c r="R337" s="104"/>
      <c r="S337" s="35"/>
      <c r="T337" s="46" t="str">
        <f>IFERROR(IF(ISNUMBER(L336),"Kohdetieto",VLOOKUP(C337,Kalusto!$C$45:$L$84,7,FALSE)),"--")</f>
        <v>--</v>
      </c>
      <c r="U337" s="46" t="str">
        <f>IFERROR(IF(ISNUMBER(L336),"Kohdetieto",VLOOKUP(C337,Kalusto!$C$45:$L$84,8,FALSE)),"--")</f>
        <v>--</v>
      </c>
      <c r="V337" s="47" t="str">
        <f>IFERROR(IF(ISNUMBER(L336),"Kohdetieto",VLOOKUP(C337,Kalusto!$C$45:$L$84,9,FALSE)),"--")</f>
        <v>--</v>
      </c>
      <c r="W337" s="47" t="str">
        <f>IFERROR(IF(ISNUMBER(L336),"Kohdetieto",VLOOKUP(C337,Kalusto!$C$45:$L$84,10,FALSE)),"--")</f>
        <v>--</v>
      </c>
      <c r="X337" s="48" t="str">
        <f>IF(ISBLANK(C335),"",C335/1000)</f>
        <v/>
      </c>
      <c r="Y337" s="46" t="str">
        <f>IF(ISNUMBER(G336),G336,"")</f>
        <v/>
      </c>
      <c r="Z337" s="49" t="str">
        <f>IF(ISNUMBER(L336),L336,K336)</f>
        <v>--</v>
      </c>
      <c r="AA337" s="35"/>
      <c r="AB337" s="104"/>
      <c r="AC337" s="35"/>
      <c r="AD337" s="35"/>
      <c r="AE337" s="35"/>
      <c r="AF337" s="35"/>
      <c r="AG337" s="35"/>
      <c r="AH337" s="35"/>
      <c r="AI337" s="35"/>
      <c r="AJ337" s="35"/>
      <c r="AK337" s="36"/>
      <c r="AL337" s="36"/>
      <c r="AM337" s="36"/>
      <c r="AN337" s="36"/>
      <c r="AO337" s="36"/>
      <c r="AP337" s="36"/>
      <c r="AQ337" s="36"/>
      <c r="AR337" s="36"/>
      <c r="AS337" s="36"/>
      <c r="AT337" s="36"/>
      <c r="AU337" s="36"/>
      <c r="AV337" s="36"/>
      <c r="AW337" s="36"/>
      <c r="AX337" s="36"/>
      <c r="AY337" s="36"/>
      <c r="AZ337" s="36"/>
      <c r="BA337" s="36"/>
      <c r="BB337" s="36"/>
    </row>
    <row r="338" spans="1:56" s="30" customFormat="1" ht="15" x14ac:dyDescent="0.2">
      <c r="B338" s="76" t="s">
        <v>457</v>
      </c>
      <c r="C338" s="156" t="s">
        <v>309</v>
      </c>
      <c r="D338" s="33"/>
      <c r="E338" s="33"/>
      <c r="F338" s="33"/>
      <c r="G338" s="33"/>
      <c r="H338" s="57"/>
      <c r="J338" s="169"/>
      <c r="K338" s="169"/>
      <c r="L338" s="169"/>
      <c r="M338" s="40"/>
      <c r="N338" s="40"/>
      <c r="O338" s="250"/>
      <c r="Q338" s="45"/>
      <c r="R338" s="35"/>
      <c r="S338" s="35"/>
      <c r="T338" s="35"/>
      <c r="U338" s="35"/>
      <c r="V338" s="177"/>
      <c r="W338" s="177"/>
      <c r="X338" s="59"/>
      <c r="Y338" s="35"/>
      <c r="Z338" s="59"/>
      <c r="AA338" s="178"/>
      <c r="AB338" s="59"/>
      <c r="AC338" s="59"/>
      <c r="AD338" s="59"/>
      <c r="AE338" s="59"/>
      <c r="AF338" s="178"/>
      <c r="AG338" s="59"/>
      <c r="AH338" s="104"/>
      <c r="AI338" s="35"/>
      <c r="AJ338" s="35"/>
      <c r="AK338" s="36"/>
      <c r="AL338" s="36"/>
      <c r="AM338" s="36"/>
      <c r="AN338" s="36"/>
      <c r="AO338" s="36"/>
      <c r="AP338" s="36"/>
      <c r="AQ338" s="36"/>
      <c r="AR338" s="36"/>
      <c r="AS338" s="36"/>
      <c r="AT338" s="36"/>
      <c r="AU338" s="36"/>
      <c r="AV338" s="36"/>
      <c r="AW338" s="36"/>
      <c r="AX338" s="36"/>
      <c r="AY338" s="36"/>
      <c r="AZ338" s="36"/>
      <c r="BA338" s="36"/>
      <c r="BB338" s="36"/>
    </row>
    <row r="339" spans="1:56" s="30" customFormat="1" ht="15" x14ac:dyDescent="0.2">
      <c r="B339" s="151" t="s">
        <v>492</v>
      </c>
      <c r="C339" s="474" t="s">
        <v>739</v>
      </c>
      <c r="D339" s="474"/>
      <c r="G339" s="152"/>
      <c r="H339" s="81" t="s">
        <v>5</v>
      </c>
      <c r="J339" s="32" t="str">
        <f>IFERROR(VLOOKUP(C339,Kalusto!$B$107:$C$110,2,FALSE),"Valitse kuljetustapa")</f>
        <v>Valitse kuljetustapa</v>
      </c>
      <c r="K339" s="92" t="str">
        <f>IFERROR(IF(ISNUMBER(L339),L339,VLOOKUP(J339,Kalusto!$C$107:$G$110,5,FALSE)),"--")</f>
        <v>--</v>
      </c>
      <c r="L339" s="39"/>
      <c r="M339" s="40" t="s">
        <v>184</v>
      </c>
      <c r="N339" s="40"/>
      <c r="O339" s="250"/>
      <c r="Q339" s="34"/>
      <c r="R339" s="48" t="str">
        <f>IF(AND(ISNUMBER(G339)*ISNUMBER(C$335)),K339*G339*X337,"")</f>
        <v/>
      </c>
      <c r="S339" s="98" t="s">
        <v>160</v>
      </c>
      <c r="T339" s="104"/>
      <c r="U339" s="35"/>
      <c r="V339" s="35"/>
      <c r="W339" s="35"/>
      <c r="X339" s="35"/>
      <c r="Y339" s="35"/>
      <c r="Z339" s="35"/>
      <c r="AA339" s="35"/>
      <c r="AB339" s="35"/>
      <c r="AC339" s="35"/>
      <c r="AD339" s="35"/>
      <c r="AE339" s="35"/>
      <c r="AF339" s="35"/>
      <c r="AG339" s="35"/>
      <c r="AH339" s="35"/>
      <c r="AI339" s="35"/>
      <c r="AJ339" s="35"/>
      <c r="AK339" s="36"/>
      <c r="AL339" s="36"/>
      <c r="AM339" s="36"/>
      <c r="AN339" s="36"/>
      <c r="AO339" s="36"/>
      <c r="AP339" s="36"/>
      <c r="AQ339" s="36"/>
      <c r="AR339" s="36"/>
      <c r="AS339" s="36"/>
      <c r="AT339" s="36"/>
      <c r="AU339" s="36"/>
      <c r="AV339" s="36"/>
      <c r="AW339" s="36"/>
      <c r="AX339" s="36"/>
      <c r="AY339" s="36"/>
      <c r="AZ339" s="36"/>
      <c r="BA339" s="36"/>
      <c r="BB339" s="36"/>
    </row>
    <row r="340" spans="1:56" s="30" customFormat="1" ht="15" x14ac:dyDescent="0.2">
      <c r="B340" s="151" t="s">
        <v>492</v>
      </c>
      <c r="C340" s="474" t="s">
        <v>739</v>
      </c>
      <c r="D340" s="474"/>
      <c r="G340" s="152"/>
      <c r="H340" s="81" t="s">
        <v>5</v>
      </c>
      <c r="J340" s="32" t="str">
        <f>IFERROR(VLOOKUP(C340,Kalusto!$B$107:$C$110,2,FALSE),"Valitse kuljetustapa")</f>
        <v>Valitse kuljetustapa</v>
      </c>
      <c r="K340" s="92" t="str">
        <f>IFERROR(IF(ISNUMBER(L340),L340,VLOOKUP(J340,Kalusto!$C$107:$G$110,5,FALSE)),"--")</f>
        <v>--</v>
      </c>
      <c r="L340" s="39"/>
      <c r="M340" s="40" t="s">
        <v>184</v>
      </c>
      <c r="N340" s="40"/>
      <c r="O340" s="250"/>
      <c r="Q340" s="34"/>
      <c r="R340" s="48" t="str">
        <f t="shared" ref="R340:R341" si="6">IF(AND(ISNUMBER(G340)*ISNUMBER(C$335)),K340*G340*X338,"")</f>
        <v/>
      </c>
      <c r="S340" s="98" t="s">
        <v>160</v>
      </c>
      <c r="T340" s="104"/>
      <c r="U340" s="35"/>
      <c r="V340" s="35"/>
      <c r="W340" s="35"/>
      <c r="X340" s="35"/>
      <c r="Y340" s="35"/>
      <c r="Z340" s="35"/>
      <c r="AA340" s="35"/>
      <c r="AB340" s="35"/>
      <c r="AC340" s="35"/>
      <c r="AD340" s="35"/>
      <c r="AE340" s="35"/>
      <c r="AF340" s="35"/>
      <c r="AG340" s="35"/>
      <c r="AH340" s="35"/>
      <c r="AI340" s="35"/>
      <c r="AJ340" s="35"/>
      <c r="AK340" s="36"/>
      <c r="AL340" s="36"/>
      <c r="AM340" s="36"/>
      <c r="AN340" s="36"/>
      <c r="AO340" s="36"/>
      <c r="AP340" s="36"/>
      <c r="AQ340" s="36"/>
      <c r="AR340" s="36"/>
      <c r="AS340" s="36"/>
      <c r="AT340" s="36"/>
      <c r="AU340" s="36"/>
      <c r="AV340" s="36"/>
      <c r="AW340" s="36"/>
      <c r="AX340" s="36"/>
      <c r="AY340" s="36"/>
      <c r="AZ340" s="36"/>
      <c r="BA340" s="36"/>
      <c r="BB340" s="36"/>
    </row>
    <row r="341" spans="1:56" s="30" customFormat="1" ht="15" x14ac:dyDescent="0.2">
      <c r="B341" s="151" t="s">
        <v>492</v>
      </c>
      <c r="C341" s="474" t="s">
        <v>739</v>
      </c>
      <c r="D341" s="474"/>
      <c r="G341" s="152"/>
      <c r="H341" s="81" t="s">
        <v>5</v>
      </c>
      <c r="J341" s="32" t="str">
        <f>IFERROR(VLOOKUP(C341,Kalusto!$B$107:$C$110,2,FALSE),"Valitse kuljetustapa")</f>
        <v>Valitse kuljetustapa</v>
      </c>
      <c r="K341" s="92" t="str">
        <f>IFERROR(IF(ISNUMBER(L341),L341,VLOOKUP(J341,Kalusto!$C$107:$G$110,5,FALSE)),"--")</f>
        <v>--</v>
      </c>
      <c r="L341" s="39"/>
      <c r="M341" s="40" t="s">
        <v>184</v>
      </c>
      <c r="N341" s="40"/>
      <c r="O341" s="250"/>
      <c r="Q341" s="34"/>
      <c r="R341" s="48" t="str">
        <f t="shared" si="6"/>
        <v/>
      </c>
      <c r="S341" s="98" t="s">
        <v>160</v>
      </c>
      <c r="T341" s="104"/>
      <c r="U341" s="35"/>
      <c r="V341" s="35"/>
      <c r="W341" s="35"/>
      <c r="X341" s="35"/>
      <c r="Y341" s="35"/>
      <c r="Z341" s="35"/>
      <c r="AA341" s="35"/>
      <c r="AB341" s="35"/>
      <c r="AC341" s="35"/>
      <c r="AD341" s="35"/>
      <c r="AE341" s="35"/>
      <c r="AF341" s="35"/>
      <c r="AG341" s="35"/>
      <c r="AH341" s="35"/>
      <c r="AI341" s="35"/>
      <c r="AJ341" s="35"/>
      <c r="AK341" s="36"/>
      <c r="AL341" s="36"/>
      <c r="AM341" s="36"/>
      <c r="AN341" s="36"/>
      <c r="AO341" s="36"/>
      <c r="AP341" s="36"/>
      <c r="AQ341" s="36"/>
      <c r="AR341" s="36"/>
      <c r="AS341" s="36"/>
      <c r="AT341" s="36"/>
      <c r="AU341" s="36"/>
      <c r="AV341" s="36"/>
      <c r="AW341" s="36"/>
      <c r="AX341" s="36"/>
      <c r="AY341" s="36"/>
      <c r="AZ341" s="36"/>
      <c r="BA341" s="36"/>
      <c r="BB341" s="36"/>
    </row>
    <row r="342" spans="1:56" s="30" customFormat="1" ht="15" x14ac:dyDescent="0.2">
      <c r="C342" s="33"/>
      <c r="D342" s="81"/>
      <c r="G342" s="33"/>
      <c r="H342" s="81"/>
      <c r="J342" s="32"/>
      <c r="K342" s="33"/>
      <c r="L342" s="33"/>
      <c r="M342" s="81"/>
      <c r="N342" s="81"/>
      <c r="O342" s="249"/>
      <c r="Q342" s="34"/>
      <c r="R342" s="95"/>
      <c r="S342" s="35"/>
      <c r="T342" s="35"/>
      <c r="U342" s="35"/>
      <c r="V342" s="35"/>
      <c r="W342" s="35"/>
      <c r="X342" s="35"/>
      <c r="Y342" s="35"/>
      <c r="Z342" s="35"/>
      <c r="AA342" s="35"/>
      <c r="AB342" s="35"/>
      <c r="AC342" s="35"/>
      <c r="AD342" s="35"/>
      <c r="AE342" s="35"/>
      <c r="AF342" s="35"/>
      <c r="AG342" s="35"/>
      <c r="AH342" s="35"/>
      <c r="AI342" s="35"/>
      <c r="AJ342" s="35"/>
      <c r="AK342" s="36"/>
      <c r="AL342" s="36"/>
      <c r="AM342" s="36"/>
      <c r="AN342" s="36"/>
      <c r="AO342" s="36"/>
      <c r="AP342" s="36"/>
      <c r="AQ342" s="36"/>
      <c r="AR342" s="36"/>
      <c r="AS342" s="36"/>
      <c r="AT342" s="36"/>
      <c r="AU342" s="36"/>
      <c r="AV342" s="36"/>
      <c r="AW342" s="36"/>
      <c r="AX342" s="36"/>
      <c r="AY342" s="36"/>
      <c r="AZ342" s="36"/>
      <c r="BA342" s="36"/>
      <c r="BB342" s="36"/>
    </row>
    <row r="343" spans="1:56" s="30" customFormat="1" ht="18" x14ac:dyDescent="0.2">
      <c r="A343" s="289"/>
      <c r="B343" s="286" t="s">
        <v>493</v>
      </c>
      <c r="C343" s="287"/>
      <c r="D343" s="288"/>
      <c r="E343" s="289"/>
      <c r="F343" s="289"/>
      <c r="G343" s="287"/>
      <c r="H343" s="288"/>
      <c r="I343" s="289"/>
      <c r="J343" s="289"/>
      <c r="K343" s="290"/>
      <c r="L343" s="290"/>
      <c r="M343" s="288"/>
      <c r="N343" s="288"/>
      <c r="O343" s="291"/>
      <c r="P343" s="289"/>
      <c r="Q343" s="292"/>
      <c r="R343" s="293"/>
      <c r="S343" s="294"/>
      <c r="T343" s="294"/>
      <c r="U343" s="294"/>
      <c r="V343" s="294"/>
      <c r="W343" s="294"/>
      <c r="X343" s="294"/>
      <c r="Y343" s="294"/>
      <c r="Z343" s="294"/>
      <c r="AA343" s="294"/>
      <c r="AB343" s="294"/>
      <c r="AC343" s="294"/>
      <c r="AD343" s="294"/>
      <c r="AE343" s="294"/>
      <c r="AF343" s="294"/>
      <c r="AG343" s="294"/>
      <c r="AH343" s="294"/>
      <c r="AI343" s="294"/>
      <c r="AJ343" s="294"/>
      <c r="AK343" s="295"/>
      <c r="AL343" s="295"/>
      <c r="AM343" s="295"/>
      <c r="AN343" s="295"/>
      <c r="AO343" s="295"/>
      <c r="AP343" s="295"/>
      <c r="AQ343" s="295"/>
      <c r="AR343" s="295"/>
      <c r="AS343" s="295"/>
      <c r="AT343" s="295"/>
      <c r="AU343" s="295"/>
      <c r="AV343" s="295"/>
      <c r="AW343" s="295"/>
      <c r="AX343" s="295"/>
      <c r="AY343" s="295"/>
      <c r="AZ343" s="295"/>
      <c r="BA343" s="295"/>
      <c r="BB343" s="295"/>
    </row>
    <row r="344" spans="1:56" s="30" customFormat="1" ht="15.75" x14ac:dyDescent="0.2">
      <c r="B344" s="8"/>
      <c r="C344" s="33"/>
      <c r="D344" s="81"/>
      <c r="G344" s="33"/>
      <c r="H344" s="81"/>
      <c r="J344" s="32"/>
      <c r="K344" s="37" t="s">
        <v>297</v>
      </c>
      <c r="L344" s="37" t="s">
        <v>185</v>
      </c>
      <c r="O344" s="249" t="s">
        <v>584</v>
      </c>
      <c r="P344" s="67"/>
      <c r="Q344" s="104"/>
      <c r="R344" s="35" t="s">
        <v>318</v>
      </c>
      <c r="S344" s="104"/>
      <c r="T344" s="35" t="s">
        <v>50</v>
      </c>
      <c r="U344" s="35" t="s">
        <v>192</v>
      </c>
      <c r="V344" s="35" t="s">
        <v>320</v>
      </c>
      <c r="W344" s="35"/>
      <c r="X344" s="35"/>
      <c r="Y344" s="35"/>
      <c r="Z344" s="35"/>
      <c r="AA344" s="35"/>
      <c r="AB344" s="35"/>
      <c r="AC344" s="35"/>
      <c r="AD344" s="35"/>
      <c r="AE344" s="35"/>
      <c r="AF344" s="35"/>
      <c r="AG344" s="35"/>
      <c r="AH344" s="35"/>
      <c r="AI344" s="35"/>
      <c r="AJ344" s="35"/>
      <c r="AK344" s="35"/>
      <c r="AL344" s="35"/>
      <c r="AM344" s="36"/>
      <c r="AN344" s="36"/>
      <c r="AO344" s="36"/>
      <c r="AP344" s="36"/>
      <c r="AQ344" s="36"/>
      <c r="AR344" s="36"/>
      <c r="AS344" s="36"/>
      <c r="AT344" s="36"/>
      <c r="AU344" s="36"/>
      <c r="AV344" s="36"/>
      <c r="AW344" s="36"/>
      <c r="AX344" s="36"/>
      <c r="AY344" s="36"/>
      <c r="AZ344" s="36"/>
      <c r="BA344" s="36"/>
      <c r="BB344" s="36"/>
      <c r="BC344" s="54"/>
      <c r="BD344" s="54"/>
    </row>
    <row r="345" spans="1:56" s="30" customFormat="1" ht="15" x14ac:dyDescent="0.2">
      <c r="B345" s="151" t="s">
        <v>494</v>
      </c>
      <c r="C345" s="190"/>
      <c r="D345" s="81" t="s">
        <v>194</v>
      </c>
      <c r="G345" s="33"/>
      <c r="H345" s="81"/>
      <c r="J345" s="32" t="s">
        <v>424</v>
      </c>
      <c r="K345" s="92" t="str">
        <f>IFERROR(IF(ISNUMBER(L345),L345,(VLOOKUP(C346,Kalusto!$C$5:$E$42,3,FALSE))*(VLOOKUP(C347,Muut!$D$40:$E$43,2,FALSE))),"--")</f>
        <v>--</v>
      </c>
      <c r="L345" s="39"/>
      <c r="M345" s="40" t="s">
        <v>189</v>
      </c>
      <c r="N345" s="40"/>
      <c r="O345" s="250"/>
      <c r="P345" s="67"/>
      <c r="Q345" s="104"/>
      <c r="R345" s="48" t="str">
        <f>IF(ISNUMBER(K345*V345),K345*V345,"")</f>
        <v/>
      </c>
      <c r="S345" s="98" t="s">
        <v>160</v>
      </c>
      <c r="T345" s="48" t="str">
        <f>IF(ISNUMBER(C345),C345,"")</f>
        <v/>
      </c>
      <c r="U345" s="62" t="str">
        <f>IF(D348="h","",IF(ISNUMBER(C348),C348,""))</f>
        <v/>
      </c>
      <c r="V345" s="48" t="str">
        <f>IF(ISNUMBER(T345),IF(D348="h",D348,IF(ISNUMBER(T345*U345),IF(D348="m3/h",T345/U345,T345*U345),"")),"")</f>
        <v/>
      </c>
      <c r="W345" s="35"/>
      <c r="X345" s="35"/>
      <c r="Y345" s="35"/>
      <c r="Z345" s="35"/>
      <c r="AA345" s="35"/>
      <c r="AB345" s="35"/>
      <c r="AC345" s="35"/>
      <c r="AD345" s="35"/>
      <c r="AE345" s="35"/>
      <c r="AF345" s="35"/>
      <c r="AG345" s="35"/>
      <c r="AH345" s="35"/>
      <c r="AI345" s="35"/>
      <c r="AJ345" s="35"/>
      <c r="AK345" s="35"/>
      <c r="AL345" s="35"/>
      <c r="AM345" s="36"/>
      <c r="AN345" s="36"/>
      <c r="AO345" s="36"/>
      <c r="AP345" s="36"/>
      <c r="AQ345" s="36"/>
      <c r="AR345" s="36"/>
      <c r="AS345" s="36"/>
      <c r="AT345" s="36"/>
      <c r="AU345" s="36"/>
      <c r="AV345" s="36"/>
      <c r="AW345" s="36"/>
      <c r="AX345" s="36"/>
      <c r="AY345" s="36"/>
      <c r="AZ345" s="36"/>
      <c r="BA345" s="36"/>
      <c r="BB345" s="36"/>
      <c r="BC345" s="54"/>
      <c r="BD345" s="54"/>
    </row>
    <row r="346" spans="1:56" s="30" customFormat="1" ht="15" x14ac:dyDescent="0.2">
      <c r="B346" s="52" t="s">
        <v>461</v>
      </c>
      <c r="C346" s="471" t="s">
        <v>300</v>
      </c>
      <c r="D346" s="472"/>
      <c r="E346" s="472"/>
      <c r="F346" s="472"/>
      <c r="G346" s="473"/>
      <c r="J346" s="32"/>
      <c r="O346" s="258"/>
      <c r="P346" s="67"/>
      <c r="Q346" s="104"/>
      <c r="R346" s="35"/>
      <c r="S346" s="104"/>
      <c r="T346" s="35"/>
      <c r="U346" s="35"/>
      <c r="V346" s="35"/>
      <c r="W346" s="35"/>
      <c r="X346" s="35"/>
      <c r="Y346" s="35"/>
      <c r="Z346" s="35"/>
      <c r="AA346" s="35"/>
      <c r="AB346" s="35"/>
      <c r="AC346" s="35"/>
      <c r="AD346" s="35"/>
      <c r="AE346" s="35"/>
      <c r="AF346" s="35"/>
      <c r="AG346" s="35"/>
      <c r="AH346" s="35"/>
      <c r="AI346" s="35"/>
      <c r="AJ346" s="35"/>
      <c r="AK346" s="35"/>
      <c r="AL346" s="35"/>
      <c r="AM346" s="36"/>
      <c r="AN346" s="36"/>
      <c r="AO346" s="36"/>
      <c r="AP346" s="36"/>
      <c r="AQ346" s="36"/>
      <c r="AR346" s="36"/>
      <c r="AS346" s="36"/>
      <c r="AT346" s="36"/>
      <c r="AU346" s="36"/>
      <c r="AV346" s="36"/>
      <c r="AW346" s="36"/>
      <c r="AX346" s="36"/>
      <c r="AY346" s="36"/>
      <c r="AZ346" s="36"/>
      <c r="BA346" s="36"/>
      <c r="BB346" s="36"/>
      <c r="BC346" s="54"/>
      <c r="BD346" s="54"/>
    </row>
    <row r="347" spans="1:56" s="30" customFormat="1" ht="15" x14ac:dyDescent="0.2">
      <c r="B347" s="166" t="s">
        <v>460</v>
      </c>
      <c r="C347" s="156" t="s">
        <v>309</v>
      </c>
      <c r="D347" s="33"/>
      <c r="E347" s="33"/>
      <c r="F347" s="33"/>
      <c r="G347" s="33"/>
      <c r="H347" s="57"/>
      <c r="J347" s="169"/>
      <c r="K347" s="169"/>
      <c r="L347" s="169"/>
      <c r="M347" s="40"/>
      <c r="N347" s="40"/>
      <c r="O347" s="250"/>
      <c r="Q347" s="45"/>
      <c r="R347" s="59"/>
      <c r="S347" s="98"/>
      <c r="T347" s="35"/>
      <c r="U347" s="35"/>
      <c r="V347" s="177"/>
      <c r="W347" s="177"/>
      <c r="X347" s="59"/>
      <c r="Y347" s="35"/>
      <c r="Z347" s="59"/>
      <c r="AA347" s="178"/>
      <c r="AB347" s="59"/>
      <c r="AC347" s="59"/>
      <c r="AD347" s="59"/>
      <c r="AE347" s="59"/>
      <c r="AF347" s="178"/>
      <c r="AG347" s="59"/>
      <c r="AH347" s="104"/>
      <c r="AI347" s="35"/>
      <c r="AJ347" s="35"/>
      <c r="AK347" s="36"/>
      <c r="AL347" s="36"/>
      <c r="AM347" s="36"/>
      <c r="AN347" s="36"/>
      <c r="AO347" s="36"/>
      <c r="AP347" s="36"/>
      <c r="AQ347" s="36"/>
      <c r="AR347" s="36"/>
      <c r="AS347" s="36"/>
      <c r="AT347" s="36"/>
      <c r="AU347" s="36"/>
      <c r="AV347" s="36"/>
      <c r="AW347" s="36"/>
      <c r="AX347" s="36"/>
      <c r="AY347" s="36"/>
      <c r="AZ347" s="36"/>
      <c r="BA347" s="36"/>
      <c r="BB347" s="36"/>
    </row>
    <row r="348" spans="1:56" s="30" customFormat="1" ht="30" x14ac:dyDescent="0.2">
      <c r="B348" s="76" t="s">
        <v>462</v>
      </c>
      <c r="C348" s="189"/>
      <c r="D348" s="86" t="s">
        <v>193</v>
      </c>
      <c r="G348" s="33"/>
      <c r="H348" s="81"/>
      <c r="J348" s="32"/>
      <c r="O348" s="258"/>
      <c r="P348" s="67"/>
      <c r="Q348" s="104"/>
      <c r="R348" s="35"/>
      <c r="S348" s="104"/>
      <c r="T348" s="35"/>
      <c r="U348" s="35"/>
      <c r="V348" s="35"/>
      <c r="W348" s="35"/>
      <c r="X348" s="35"/>
      <c r="Y348" s="35"/>
      <c r="Z348" s="35"/>
      <c r="AA348" s="35"/>
      <c r="AB348" s="35"/>
      <c r="AC348" s="35"/>
      <c r="AD348" s="35"/>
      <c r="AE348" s="35"/>
      <c r="AF348" s="35"/>
      <c r="AG348" s="35"/>
      <c r="AH348" s="35"/>
      <c r="AI348" s="35"/>
      <c r="AJ348" s="35"/>
      <c r="AK348" s="35"/>
      <c r="AL348" s="35"/>
      <c r="AM348" s="36"/>
      <c r="AN348" s="36"/>
      <c r="AO348" s="36"/>
      <c r="AP348" s="36"/>
      <c r="AQ348" s="36"/>
      <c r="AR348" s="36"/>
      <c r="AS348" s="36"/>
      <c r="AT348" s="36"/>
      <c r="AU348" s="36"/>
      <c r="AV348" s="36"/>
      <c r="AW348" s="36"/>
      <c r="AX348" s="36"/>
      <c r="AY348" s="36"/>
      <c r="AZ348" s="36"/>
      <c r="BA348" s="36"/>
      <c r="BB348" s="36"/>
      <c r="BC348" s="54"/>
      <c r="BD348" s="54"/>
    </row>
    <row r="349" spans="1:56" s="30" customFormat="1" ht="15" x14ac:dyDescent="0.2">
      <c r="B349" s="52"/>
      <c r="C349" s="78"/>
      <c r="D349" s="81"/>
      <c r="G349" s="33"/>
      <c r="H349" s="81"/>
      <c r="J349" s="32"/>
      <c r="K349" s="37" t="s">
        <v>297</v>
      </c>
      <c r="L349" s="37" t="s">
        <v>185</v>
      </c>
      <c r="O349" s="258"/>
      <c r="P349" s="67"/>
      <c r="Q349" s="104"/>
      <c r="R349" s="35" t="s">
        <v>318</v>
      </c>
      <c r="S349" s="104"/>
      <c r="T349" s="35" t="s">
        <v>50</v>
      </c>
      <c r="U349" s="35" t="s">
        <v>192</v>
      </c>
      <c r="V349" s="35" t="s">
        <v>320</v>
      </c>
      <c r="W349" s="35"/>
      <c r="X349" s="35"/>
      <c r="Y349" s="35"/>
      <c r="Z349" s="35"/>
      <c r="AA349" s="35"/>
      <c r="AB349" s="35"/>
      <c r="AC349" s="35"/>
      <c r="AD349" s="35"/>
      <c r="AE349" s="35"/>
      <c r="AF349" s="35"/>
      <c r="AG349" s="35"/>
      <c r="AH349" s="35"/>
      <c r="AI349" s="35"/>
      <c r="AJ349" s="35"/>
      <c r="AK349" s="35"/>
      <c r="AL349" s="35"/>
      <c r="AM349" s="36"/>
      <c r="AN349" s="36"/>
      <c r="AO349" s="36"/>
      <c r="AP349" s="36"/>
      <c r="AQ349" s="36"/>
      <c r="AR349" s="36"/>
      <c r="AS349" s="36"/>
      <c r="AT349" s="36"/>
      <c r="AU349" s="36"/>
      <c r="AV349" s="36"/>
      <c r="AW349" s="36"/>
      <c r="AX349" s="36"/>
      <c r="AY349" s="36"/>
      <c r="AZ349" s="36"/>
      <c r="BA349" s="36"/>
      <c r="BB349" s="36"/>
      <c r="BC349" s="54"/>
      <c r="BD349" s="54"/>
    </row>
    <row r="350" spans="1:56" s="30" customFormat="1" ht="15" x14ac:dyDescent="0.2">
      <c r="B350" s="151" t="s">
        <v>495</v>
      </c>
      <c r="C350" s="190"/>
      <c r="D350" s="81" t="s">
        <v>194</v>
      </c>
      <c r="G350" s="33"/>
      <c r="H350" s="81"/>
      <c r="J350" s="32" t="s">
        <v>424</v>
      </c>
      <c r="K350" s="92" t="str">
        <f>IFERROR(IF(ISNUMBER(L350),L350,(VLOOKUP(C351,Kalusto!$C$5:$E$42,3,FALSE))*(VLOOKUP(C352,Muut!$D$40:$E$43,2,FALSE))),"--")</f>
        <v>--</v>
      </c>
      <c r="L350" s="39"/>
      <c r="M350" s="40" t="s">
        <v>189</v>
      </c>
      <c r="N350" s="40"/>
      <c r="O350" s="250"/>
      <c r="P350" s="67"/>
      <c r="Q350" s="104"/>
      <c r="R350" s="48" t="str">
        <f>IF(ISNUMBER(K350*V350),K350*V350,"")</f>
        <v/>
      </c>
      <c r="S350" s="98" t="s">
        <v>160</v>
      </c>
      <c r="T350" s="48" t="str">
        <f>IF(ISNUMBER(C350),C350,"")</f>
        <v/>
      </c>
      <c r="U350" s="62" t="str">
        <f>IF(D353="h","",IF(ISNUMBER(C353),C353,""))</f>
        <v/>
      </c>
      <c r="V350" s="48" t="str">
        <f>IF(ISNUMBER(T350),IF(D353="h",D353,IF(ISNUMBER(T350*U350),IF(D353="m3/h",T350/U350,T350*U350),"")),"")</f>
        <v/>
      </c>
      <c r="W350" s="35"/>
      <c r="X350" s="35"/>
      <c r="Y350" s="35"/>
      <c r="Z350" s="35"/>
      <c r="AA350" s="35"/>
      <c r="AB350" s="35"/>
      <c r="AC350" s="35"/>
      <c r="AD350" s="35"/>
      <c r="AE350" s="35"/>
      <c r="AF350" s="35"/>
      <c r="AG350" s="35"/>
      <c r="AH350" s="35"/>
      <c r="AI350" s="35"/>
      <c r="AJ350" s="35"/>
      <c r="AK350" s="35"/>
      <c r="AL350" s="35"/>
      <c r="AM350" s="36"/>
      <c r="AN350" s="36"/>
      <c r="AO350" s="36"/>
      <c r="AP350" s="36"/>
      <c r="AQ350" s="36"/>
      <c r="AR350" s="36"/>
      <c r="AS350" s="36"/>
      <c r="AT350" s="36"/>
      <c r="AU350" s="36"/>
      <c r="AV350" s="36"/>
      <c r="AW350" s="36"/>
      <c r="AX350" s="36"/>
      <c r="AY350" s="36"/>
      <c r="AZ350" s="36"/>
      <c r="BA350" s="36"/>
      <c r="BB350" s="36"/>
      <c r="BC350" s="54"/>
      <c r="BD350" s="54"/>
    </row>
    <row r="351" spans="1:56" s="30" customFormat="1" ht="15" x14ac:dyDescent="0.2">
      <c r="B351" s="52" t="s">
        <v>461</v>
      </c>
      <c r="C351" s="471" t="s">
        <v>300</v>
      </c>
      <c r="D351" s="472"/>
      <c r="E351" s="472"/>
      <c r="F351" s="472"/>
      <c r="G351" s="473"/>
      <c r="H351" s="30" t="s">
        <v>187</v>
      </c>
      <c r="J351" s="32"/>
      <c r="O351" s="258"/>
      <c r="P351" s="67"/>
      <c r="Q351" s="104"/>
      <c r="R351" s="35"/>
      <c r="S351" s="104"/>
      <c r="T351" s="35"/>
      <c r="U351" s="35"/>
      <c r="V351" s="35"/>
      <c r="W351" s="35"/>
      <c r="X351" s="35"/>
      <c r="Y351" s="35"/>
      <c r="Z351" s="35"/>
      <c r="AA351" s="35"/>
      <c r="AB351" s="35"/>
      <c r="AC351" s="35"/>
      <c r="AD351" s="35"/>
      <c r="AE351" s="35"/>
      <c r="AF351" s="35"/>
      <c r="AG351" s="35"/>
      <c r="AH351" s="35"/>
      <c r="AI351" s="35"/>
      <c r="AJ351" s="35"/>
      <c r="AK351" s="35"/>
      <c r="AL351" s="35"/>
      <c r="AM351" s="36"/>
      <c r="AN351" s="36"/>
      <c r="AO351" s="36"/>
      <c r="AP351" s="36"/>
      <c r="AQ351" s="36"/>
      <c r="AR351" s="36"/>
      <c r="AS351" s="36"/>
      <c r="AT351" s="36"/>
      <c r="AU351" s="36"/>
      <c r="AV351" s="36"/>
      <c r="AW351" s="36"/>
      <c r="AX351" s="36"/>
      <c r="AY351" s="36"/>
      <c r="AZ351" s="36"/>
      <c r="BA351" s="36"/>
      <c r="BB351" s="36"/>
      <c r="BC351" s="54"/>
      <c r="BD351" s="54"/>
    </row>
    <row r="352" spans="1:56" s="30" customFormat="1" ht="15" x14ac:dyDescent="0.2">
      <c r="B352" s="166" t="s">
        <v>460</v>
      </c>
      <c r="C352" s="156" t="s">
        <v>309</v>
      </c>
      <c r="D352" s="33"/>
      <c r="E352" s="33"/>
      <c r="F352" s="33"/>
      <c r="G352" s="33"/>
      <c r="H352" s="57"/>
      <c r="J352" s="169"/>
      <c r="K352" s="169"/>
      <c r="L352" s="169"/>
      <c r="M352" s="40"/>
      <c r="N352" s="40"/>
      <c r="O352" s="250"/>
      <c r="Q352" s="45"/>
      <c r="R352" s="59"/>
      <c r="S352" s="98"/>
      <c r="T352" s="35"/>
      <c r="U352" s="35"/>
      <c r="V352" s="177"/>
      <c r="W352" s="177"/>
      <c r="X352" s="59"/>
      <c r="Y352" s="35"/>
      <c r="Z352" s="59"/>
      <c r="AA352" s="178"/>
      <c r="AB352" s="59"/>
      <c r="AC352" s="59"/>
      <c r="AD352" s="59"/>
      <c r="AE352" s="59"/>
      <c r="AF352" s="178"/>
      <c r="AG352" s="59"/>
      <c r="AH352" s="104"/>
      <c r="AI352" s="35"/>
      <c r="AJ352" s="35"/>
      <c r="AK352" s="36"/>
      <c r="AL352" s="36"/>
      <c r="AM352" s="36"/>
      <c r="AN352" s="36"/>
      <c r="AO352" s="36"/>
      <c r="AP352" s="36"/>
      <c r="AQ352" s="36"/>
      <c r="AR352" s="36"/>
      <c r="AS352" s="36"/>
      <c r="AT352" s="36"/>
      <c r="AU352" s="36"/>
      <c r="AV352" s="36"/>
      <c r="AW352" s="36"/>
      <c r="AX352" s="36"/>
      <c r="AY352" s="36"/>
      <c r="AZ352" s="36"/>
      <c r="BA352" s="36"/>
      <c r="BB352" s="36"/>
    </row>
    <row r="353" spans="1:56" s="30" customFormat="1" ht="30" x14ac:dyDescent="0.2">
      <c r="B353" s="76" t="s">
        <v>462</v>
      </c>
      <c r="C353" s="189"/>
      <c r="D353" s="86" t="s">
        <v>193</v>
      </c>
      <c r="E353" s="30" t="s">
        <v>187</v>
      </c>
      <c r="G353" s="33"/>
      <c r="H353" s="81"/>
      <c r="J353" s="32"/>
      <c r="O353" s="258"/>
      <c r="P353" s="67"/>
      <c r="Q353" s="104"/>
      <c r="R353" s="35"/>
      <c r="S353" s="104"/>
      <c r="T353" s="35"/>
      <c r="U353" s="35"/>
      <c r="V353" s="35"/>
      <c r="W353" s="35"/>
      <c r="X353" s="35"/>
      <c r="Y353" s="35"/>
      <c r="Z353" s="35"/>
      <c r="AA353" s="35"/>
      <c r="AB353" s="35"/>
      <c r="AC353" s="35"/>
      <c r="AD353" s="35"/>
      <c r="AE353" s="35"/>
      <c r="AF353" s="35"/>
      <c r="AG353" s="35"/>
      <c r="AH353" s="35"/>
      <c r="AI353" s="35"/>
      <c r="AJ353" s="35"/>
      <c r="AK353" s="35"/>
      <c r="AL353" s="35"/>
      <c r="AM353" s="36"/>
      <c r="AN353" s="36"/>
      <c r="AO353" s="36"/>
      <c r="AP353" s="36"/>
      <c r="AQ353" s="36"/>
      <c r="AR353" s="36"/>
      <c r="AS353" s="36"/>
      <c r="AT353" s="36"/>
      <c r="AU353" s="36"/>
      <c r="AV353" s="36"/>
      <c r="AW353" s="36"/>
      <c r="AX353" s="36"/>
      <c r="AY353" s="36"/>
      <c r="AZ353" s="36"/>
      <c r="BA353" s="36"/>
      <c r="BB353" s="36"/>
      <c r="BC353" s="54"/>
      <c r="BD353" s="54"/>
    </row>
    <row r="354" spans="1:56" s="30" customFormat="1" ht="15" x14ac:dyDescent="0.2">
      <c r="B354" s="52"/>
      <c r="C354" s="78"/>
      <c r="D354" s="81"/>
      <c r="G354" s="33"/>
      <c r="H354" s="81"/>
      <c r="J354" s="32"/>
      <c r="K354" s="37" t="s">
        <v>297</v>
      </c>
      <c r="L354" s="37" t="s">
        <v>185</v>
      </c>
      <c r="O354" s="258"/>
      <c r="P354" s="67"/>
      <c r="Q354" s="104"/>
      <c r="R354" s="35" t="s">
        <v>318</v>
      </c>
      <c r="S354" s="104"/>
      <c r="T354" s="35" t="s">
        <v>50</v>
      </c>
      <c r="U354" s="35" t="s">
        <v>192</v>
      </c>
      <c r="V354" s="35" t="s">
        <v>320</v>
      </c>
      <c r="W354" s="35"/>
      <c r="X354" s="35"/>
      <c r="Y354" s="35"/>
      <c r="Z354" s="35"/>
      <c r="AA354" s="35"/>
      <c r="AB354" s="35"/>
      <c r="AC354" s="35"/>
      <c r="AD354" s="35"/>
      <c r="AE354" s="35"/>
      <c r="AF354" s="35"/>
      <c r="AG354" s="35"/>
      <c r="AH354" s="35"/>
      <c r="AI354" s="35"/>
      <c r="AJ354" s="35"/>
      <c r="AK354" s="35"/>
      <c r="AL354" s="35"/>
      <c r="AM354" s="36"/>
      <c r="AN354" s="36"/>
      <c r="AO354" s="36"/>
      <c r="AP354" s="36"/>
      <c r="AQ354" s="36"/>
      <c r="AR354" s="36"/>
      <c r="AS354" s="36"/>
      <c r="AT354" s="36"/>
      <c r="AU354" s="36"/>
      <c r="AV354" s="36"/>
      <c r="AW354" s="36"/>
      <c r="AX354" s="36"/>
      <c r="AY354" s="36"/>
      <c r="AZ354" s="36"/>
      <c r="BA354" s="36"/>
      <c r="BB354" s="36"/>
      <c r="BC354" s="54"/>
      <c r="BD354" s="54"/>
    </row>
    <row r="355" spans="1:56" s="30" customFormat="1" ht="15" x14ac:dyDescent="0.2">
      <c r="B355" s="151" t="s">
        <v>496</v>
      </c>
      <c r="C355" s="190"/>
      <c r="D355" s="81" t="s">
        <v>194</v>
      </c>
      <c r="G355" s="33"/>
      <c r="H355" s="81"/>
      <c r="J355" s="32" t="s">
        <v>424</v>
      </c>
      <c r="K355" s="92" t="str">
        <f>IFERROR(IF(ISNUMBER(L355),L355,(VLOOKUP(C356,Kalusto!$C$5:$E$42,3,FALSE))*(VLOOKUP(C357,Muut!$D$40:$E$43,2,FALSE))),"--")</f>
        <v>--</v>
      </c>
      <c r="L355" s="61"/>
      <c r="M355" s="40" t="s">
        <v>189</v>
      </c>
      <c r="N355" s="40"/>
      <c r="O355" s="250"/>
      <c r="P355" s="67"/>
      <c r="Q355" s="104"/>
      <c r="R355" s="48" t="str">
        <f>IF(ISNUMBER(K355*V355),K355*V355,"")</f>
        <v/>
      </c>
      <c r="S355" s="98" t="s">
        <v>160</v>
      </c>
      <c r="T355" s="48" t="str">
        <f>IF(ISNUMBER(C355),C355,"")</f>
        <v/>
      </c>
      <c r="U355" s="62" t="str">
        <f>IF(D358="h","",IF(ISNUMBER(C358),C358,""))</f>
        <v/>
      </c>
      <c r="V355" s="48" t="str">
        <f>IF(ISNUMBER(T355),IF(D358="h",D358,IF(ISNUMBER(T355*U355),IF(D358="m3/h",T355/U355,T355*U355),"")),"")</f>
        <v/>
      </c>
      <c r="W355" s="35"/>
      <c r="X355" s="35"/>
      <c r="Y355" s="35"/>
      <c r="Z355" s="35"/>
      <c r="AA355" s="35"/>
      <c r="AB355" s="35"/>
      <c r="AC355" s="35"/>
      <c r="AD355" s="35"/>
      <c r="AE355" s="35"/>
      <c r="AF355" s="35"/>
      <c r="AG355" s="35"/>
      <c r="AH355" s="35"/>
      <c r="AI355" s="35"/>
      <c r="AJ355" s="35"/>
      <c r="AK355" s="35"/>
      <c r="AL355" s="35"/>
      <c r="AM355" s="36"/>
      <c r="AN355" s="36"/>
      <c r="AO355" s="36"/>
      <c r="AP355" s="36"/>
      <c r="AQ355" s="36"/>
      <c r="AR355" s="36"/>
      <c r="AS355" s="36"/>
      <c r="AT355" s="36"/>
      <c r="AU355" s="36"/>
      <c r="AV355" s="36"/>
      <c r="AW355" s="36"/>
      <c r="AX355" s="36"/>
      <c r="AY355" s="36"/>
      <c r="AZ355" s="36"/>
      <c r="BA355" s="36"/>
      <c r="BB355" s="36"/>
      <c r="BC355" s="54"/>
      <c r="BD355" s="54"/>
    </row>
    <row r="356" spans="1:56" s="30" customFormat="1" ht="15" x14ac:dyDescent="0.2">
      <c r="B356" s="52" t="s">
        <v>461</v>
      </c>
      <c r="C356" s="471" t="s">
        <v>300</v>
      </c>
      <c r="D356" s="472"/>
      <c r="E356" s="472"/>
      <c r="F356" s="472"/>
      <c r="G356" s="473"/>
      <c r="H356" s="30" t="s">
        <v>187</v>
      </c>
      <c r="J356" s="32"/>
      <c r="O356" s="258"/>
      <c r="P356" s="67"/>
      <c r="Q356" s="104"/>
      <c r="R356" s="94"/>
      <c r="S356" s="104"/>
      <c r="T356" s="36"/>
      <c r="U356" s="35"/>
      <c r="V356" s="35"/>
      <c r="W356" s="35"/>
      <c r="X356" s="35"/>
      <c r="Y356" s="35"/>
      <c r="Z356" s="35"/>
      <c r="AA356" s="35"/>
      <c r="AB356" s="35"/>
      <c r="AC356" s="35"/>
      <c r="AD356" s="35"/>
      <c r="AE356" s="35"/>
      <c r="AF356" s="35"/>
      <c r="AG356" s="35"/>
      <c r="AH356" s="35"/>
      <c r="AI356" s="35"/>
      <c r="AJ356" s="35"/>
      <c r="AK356" s="35"/>
      <c r="AL356" s="35"/>
      <c r="AM356" s="36"/>
      <c r="AN356" s="36"/>
      <c r="AO356" s="36"/>
      <c r="AP356" s="36"/>
      <c r="AQ356" s="36"/>
      <c r="AR356" s="36"/>
      <c r="AS356" s="36"/>
      <c r="AT356" s="36"/>
      <c r="AU356" s="36"/>
      <c r="AV356" s="36"/>
      <c r="AW356" s="36"/>
      <c r="AX356" s="36"/>
      <c r="AY356" s="36"/>
      <c r="AZ356" s="36"/>
      <c r="BA356" s="36"/>
      <c r="BB356" s="36"/>
      <c r="BC356" s="54"/>
      <c r="BD356" s="54"/>
    </row>
    <row r="357" spans="1:56" s="30" customFormat="1" ht="15" x14ac:dyDescent="0.2">
      <c r="B357" s="166" t="s">
        <v>460</v>
      </c>
      <c r="C357" s="156" t="s">
        <v>309</v>
      </c>
      <c r="D357" s="33"/>
      <c r="E357" s="33"/>
      <c r="F357" s="33"/>
      <c r="G357" s="33"/>
      <c r="H357" s="57"/>
      <c r="J357" s="169"/>
      <c r="K357" s="169"/>
      <c r="L357" s="169"/>
      <c r="M357" s="40"/>
      <c r="N357" s="40"/>
      <c r="O357" s="250"/>
      <c r="Q357" s="45"/>
      <c r="R357" s="59"/>
      <c r="S357" s="98"/>
      <c r="T357" s="35"/>
      <c r="U357" s="35"/>
      <c r="V357" s="177"/>
      <c r="W357" s="177"/>
      <c r="X357" s="59"/>
      <c r="Y357" s="35"/>
      <c r="Z357" s="59"/>
      <c r="AA357" s="178"/>
      <c r="AB357" s="59"/>
      <c r="AC357" s="59"/>
      <c r="AD357" s="59"/>
      <c r="AE357" s="59"/>
      <c r="AF357" s="178"/>
      <c r="AG357" s="59"/>
      <c r="AH357" s="104"/>
      <c r="AI357" s="35"/>
      <c r="AJ357" s="35"/>
      <c r="AK357" s="36"/>
      <c r="AL357" s="36"/>
      <c r="AM357" s="36"/>
      <c r="AN357" s="36"/>
      <c r="AO357" s="36"/>
      <c r="AP357" s="36"/>
      <c r="AQ357" s="36"/>
      <c r="AR357" s="36"/>
      <c r="AS357" s="36"/>
      <c r="AT357" s="36"/>
      <c r="AU357" s="36"/>
      <c r="AV357" s="36"/>
      <c r="AW357" s="36"/>
      <c r="AX357" s="36"/>
      <c r="AY357" s="36"/>
      <c r="AZ357" s="36"/>
      <c r="BA357" s="36"/>
      <c r="BB357" s="36"/>
    </row>
    <row r="358" spans="1:56" s="30" customFormat="1" ht="30" x14ac:dyDescent="0.2">
      <c r="B358" s="76" t="s">
        <v>462</v>
      </c>
      <c r="C358" s="189"/>
      <c r="D358" s="86" t="s">
        <v>193</v>
      </c>
      <c r="E358" s="30" t="s">
        <v>187</v>
      </c>
      <c r="G358" s="33"/>
      <c r="H358" s="81"/>
      <c r="J358" s="32"/>
      <c r="O358" s="258"/>
      <c r="P358" s="67"/>
      <c r="Q358" s="104"/>
      <c r="R358" s="94"/>
      <c r="S358" s="104"/>
      <c r="T358" s="36"/>
      <c r="U358" s="35"/>
      <c r="V358" s="35"/>
      <c r="W358" s="35"/>
      <c r="X358" s="35"/>
      <c r="Y358" s="35"/>
      <c r="Z358" s="35"/>
      <c r="AA358" s="35"/>
      <c r="AB358" s="35"/>
      <c r="AC358" s="35"/>
      <c r="AD358" s="35"/>
      <c r="AE358" s="35"/>
      <c r="AF358" s="35"/>
      <c r="AG358" s="35"/>
      <c r="AH358" s="35"/>
      <c r="AI358" s="35"/>
      <c r="AJ358" s="35"/>
      <c r="AK358" s="35"/>
      <c r="AL358" s="35"/>
      <c r="AM358" s="36"/>
      <c r="AN358" s="36"/>
      <c r="AO358" s="36"/>
      <c r="AP358" s="36"/>
      <c r="AQ358" s="36"/>
      <c r="AR358" s="36"/>
      <c r="AS358" s="36"/>
      <c r="AT358" s="36"/>
      <c r="AU358" s="36"/>
      <c r="AV358" s="36"/>
      <c r="AW358" s="36"/>
      <c r="AX358" s="36"/>
      <c r="AY358" s="36"/>
      <c r="AZ358" s="36"/>
      <c r="BA358" s="36"/>
      <c r="BB358" s="36"/>
      <c r="BC358" s="54"/>
      <c r="BD358" s="54"/>
    </row>
    <row r="359" spans="1:56" s="30" customFormat="1" ht="15" x14ac:dyDescent="0.2">
      <c r="D359" s="81"/>
      <c r="H359" s="81"/>
      <c r="J359" s="32"/>
      <c r="K359" s="37" t="s">
        <v>297</v>
      </c>
      <c r="L359" s="37" t="s">
        <v>185</v>
      </c>
      <c r="M359" s="81"/>
      <c r="N359" s="81"/>
      <c r="O359" s="251"/>
      <c r="P359" s="67"/>
      <c r="Q359" s="104"/>
      <c r="R359" s="94"/>
      <c r="S359" s="104"/>
      <c r="T359" s="36"/>
      <c r="U359" s="35"/>
      <c r="V359" s="35"/>
      <c r="W359" s="35"/>
      <c r="X359" s="35"/>
      <c r="Y359" s="35"/>
      <c r="Z359" s="35"/>
      <c r="AA359" s="35"/>
      <c r="AB359" s="35"/>
      <c r="AC359" s="35"/>
      <c r="AD359" s="35"/>
      <c r="AE359" s="35"/>
      <c r="AF359" s="35"/>
      <c r="AG359" s="35"/>
      <c r="AH359" s="35"/>
      <c r="AI359" s="35"/>
      <c r="AJ359" s="35"/>
      <c r="AK359" s="36"/>
      <c r="AL359" s="36"/>
      <c r="AM359" s="36"/>
      <c r="AN359" s="36"/>
      <c r="AO359" s="36"/>
      <c r="AP359" s="36"/>
      <c r="AQ359" s="36"/>
      <c r="AR359" s="36"/>
      <c r="AS359" s="36"/>
      <c r="AT359" s="36"/>
      <c r="AU359" s="36"/>
      <c r="AV359" s="36"/>
      <c r="AW359" s="36"/>
      <c r="AX359" s="36"/>
      <c r="AY359" s="36"/>
      <c r="AZ359" s="36"/>
      <c r="BA359" s="36"/>
      <c r="BB359" s="36"/>
    </row>
    <row r="360" spans="1:56" s="30" customFormat="1" ht="15" x14ac:dyDescent="0.2">
      <c r="B360" s="52" t="s">
        <v>451</v>
      </c>
      <c r="C360" s="156"/>
      <c r="D360" s="81" t="s">
        <v>194</v>
      </c>
      <c r="G360" s="33"/>
      <c r="H360" s="81"/>
      <c r="J360" s="32" t="s">
        <v>446</v>
      </c>
      <c r="K360" s="92">
        <f>IF(ISNUMBER(L360),L360,Muut!$F$37)</f>
        <v>0.7</v>
      </c>
      <c r="L360" s="71"/>
      <c r="M360" s="81" t="s">
        <v>207</v>
      </c>
      <c r="N360" s="81"/>
      <c r="O360" s="251"/>
      <c r="Q360" s="34"/>
      <c r="R360" s="105">
        <f>IF(ISNUMBER(K360*C360),K360*C360,"")</f>
        <v>0</v>
      </c>
      <c r="S360" s="98" t="s">
        <v>160</v>
      </c>
      <c r="T360" s="35"/>
      <c r="U360" s="35"/>
      <c r="V360" s="35"/>
      <c r="W360" s="35"/>
      <c r="X360" s="35"/>
      <c r="Y360" s="35"/>
      <c r="Z360" s="35"/>
      <c r="AA360" s="35"/>
      <c r="AB360" s="35"/>
      <c r="AC360" s="35"/>
      <c r="AD360" s="35"/>
      <c r="AE360" s="35"/>
      <c r="AF360" s="35"/>
      <c r="AG360" s="35"/>
      <c r="AH360" s="35"/>
      <c r="AI360" s="35"/>
      <c r="AJ360" s="35"/>
      <c r="AK360" s="36"/>
      <c r="AL360" s="36"/>
      <c r="AM360" s="36"/>
      <c r="AN360" s="36"/>
      <c r="AO360" s="36"/>
      <c r="AP360" s="36"/>
      <c r="AQ360" s="36"/>
      <c r="AR360" s="36"/>
      <c r="AS360" s="36"/>
      <c r="AT360" s="36"/>
      <c r="AU360" s="36"/>
      <c r="AV360" s="36"/>
      <c r="AW360" s="36"/>
      <c r="AX360" s="36"/>
      <c r="AY360" s="36"/>
      <c r="AZ360" s="36"/>
      <c r="BA360" s="36"/>
      <c r="BB360" s="36"/>
    </row>
    <row r="361" spans="1:56" s="30" customFormat="1" ht="15" x14ac:dyDescent="0.2">
      <c r="B361" s="68" t="s">
        <v>444</v>
      </c>
      <c r="C361" s="93"/>
      <c r="D361" s="74" t="s">
        <v>194</v>
      </c>
      <c r="G361" s="33"/>
      <c r="H361" s="81"/>
      <c r="J361" s="69" t="s">
        <v>445</v>
      </c>
      <c r="K361" s="33"/>
      <c r="L361" s="33"/>
      <c r="M361" s="81"/>
      <c r="N361" s="81"/>
      <c r="O361" s="251"/>
      <c r="Q361" s="34"/>
      <c r="R361" s="95"/>
      <c r="S361" s="35"/>
      <c r="T361" s="35"/>
      <c r="U361" s="35"/>
      <c r="V361" s="35"/>
      <c r="W361" s="35"/>
      <c r="X361" s="35"/>
      <c r="Y361" s="35"/>
      <c r="Z361" s="35"/>
      <c r="AA361" s="35"/>
      <c r="AB361" s="35"/>
      <c r="AC361" s="35"/>
      <c r="AD361" s="35"/>
      <c r="AE361" s="35"/>
      <c r="AF361" s="35"/>
      <c r="AG361" s="35"/>
      <c r="AH361" s="35"/>
      <c r="AI361" s="35"/>
      <c r="AJ361" s="35"/>
      <c r="AK361" s="36"/>
      <c r="AL361" s="36"/>
      <c r="AM361" s="36"/>
      <c r="AN361" s="36"/>
      <c r="AO361" s="36"/>
      <c r="AP361" s="36"/>
      <c r="AQ361" s="36"/>
      <c r="AR361" s="36"/>
      <c r="AS361" s="36"/>
      <c r="AT361" s="36"/>
      <c r="AU361" s="36"/>
      <c r="AV361" s="36"/>
      <c r="AW361" s="36"/>
      <c r="AX361" s="36"/>
      <c r="AY361" s="36"/>
      <c r="AZ361" s="36"/>
      <c r="BA361" s="36"/>
      <c r="BB361" s="36"/>
    </row>
    <row r="362" spans="1:56" s="30" customFormat="1" ht="15" x14ac:dyDescent="0.2">
      <c r="B362" s="68" t="s">
        <v>13</v>
      </c>
      <c r="C362" s="93"/>
      <c r="D362" s="74" t="s">
        <v>194</v>
      </c>
      <c r="G362" s="33"/>
      <c r="H362" s="81"/>
      <c r="J362" s="69" t="s">
        <v>250</v>
      </c>
      <c r="K362" s="33"/>
      <c r="L362" s="33"/>
      <c r="M362" s="81"/>
      <c r="N362" s="81"/>
      <c r="O362" s="251"/>
      <c r="Q362" s="34"/>
      <c r="R362" s="95"/>
      <c r="S362" s="35"/>
      <c r="T362" s="35"/>
      <c r="U362" s="35"/>
      <c r="V362" s="35"/>
      <c r="W362" s="35"/>
      <c r="X362" s="35"/>
      <c r="Y362" s="35"/>
      <c r="Z362" s="35"/>
      <c r="AA362" s="35"/>
      <c r="AB362" s="35"/>
      <c r="AC362" s="35"/>
      <c r="AD362" s="35"/>
      <c r="AE362" s="35"/>
      <c r="AF362" s="35"/>
      <c r="AG362" s="35"/>
      <c r="AH362" s="35"/>
      <c r="AI362" s="35"/>
      <c r="AJ362" s="35"/>
      <c r="AK362" s="36"/>
      <c r="AL362" s="36"/>
      <c r="AM362" s="36"/>
      <c r="AN362" s="36"/>
      <c r="AO362" s="36"/>
      <c r="AP362" s="36"/>
      <c r="AQ362" s="36"/>
      <c r="AR362" s="36"/>
      <c r="AS362" s="36"/>
      <c r="AT362" s="36"/>
      <c r="AU362" s="36"/>
      <c r="AV362" s="36"/>
      <c r="AW362" s="36"/>
      <c r="AX362" s="36"/>
      <c r="AY362" s="36"/>
      <c r="AZ362" s="36"/>
      <c r="BA362" s="36"/>
      <c r="BB362" s="36"/>
    </row>
    <row r="363" spans="1:56" s="30" customFormat="1" ht="15" x14ac:dyDescent="0.2">
      <c r="C363" s="33"/>
      <c r="D363" s="81"/>
      <c r="G363" s="33"/>
      <c r="H363" s="81"/>
      <c r="J363" s="32"/>
      <c r="K363" s="33"/>
      <c r="L363" s="33"/>
      <c r="M363" s="81"/>
      <c r="N363" s="81"/>
      <c r="O363" s="249"/>
      <c r="Q363" s="34"/>
      <c r="R363" s="95"/>
      <c r="S363" s="35"/>
      <c r="T363" s="35"/>
      <c r="U363" s="35"/>
      <c r="V363" s="35"/>
      <c r="W363" s="35"/>
      <c r="X363" s="35"/>
      <c r="Y363" s="35"/>
      <c r="Z363" s="35"/>
      <c r="AA363" s="35"/>
      <c r="AB363" s="35"/>
      <c r="AC363" s="35"/>
      <c r="AD363" s="35"/>
      <c r="AE363" s="35"/>
      <c r="AF363" s="35"/>
      <c r="AG363" s="35"/>
      <c r="AH363" s="35"/>
      <c r="AI363" s="35"/>
      <c r="AJ363" s="35"/>
      <c r="AK363" s="36"/>
      <c r="AL363" s="36"/>
      <c r="AM363" s="36"/>
      <c r="AN363" s="36"/>
      <c r="AO363" s="36"/>
      <c r="AP363" s="36"/>
      <c r="AQ363" s="36"/>
      <c r="AR363" s="36"/>
      <c r="AS363" s="36"/>
      <c r="AT363" s="36"/>
      <c r="AU363" s="36"/>
      <c r="AV363" s="36"/>
      <c r="AW363" s="36"/>
      <c r="AX363" s="36"/>
      <c r="AY363" s="36"/>
      <c r="AZ363" s="36"/>
      <c r="BA363" s="36"/>
      <c r="BB363" s="36"/>
    </row>
    <row r="364" spans="1:56" s="30" customFormat="1" ht="18" x14ac:dyDescent="0.2">
      <c r="A364" s="289"/>
      <c r="B364" s="286" t="s">
        <v>671</v>
      </c>
      <c r="C364" s="287"/>
      <c r="D364" s="288"/>
      <c r="E364" s="289"/>
      <c r="F364" s="289"/>
      <c r="G364" s="287"/>
      <c r="H364" s="288"/>
      <c r="I364" s="289"/>
      <c r="J364" s="289"/>
      <c r="K364" s="290"/>
      <c r="L364" s="290"/>
      <c r="M364" s="288"/>
      <c r="N364" s="288"/>
      <c r="O364" s="291"/>
      <c r="P364" s="289"/>
      <c r="Q364" s="292"/>
      <c r="R364" s="293" t="str">
        <f>IF(OR(ISNUMBER(#REF!),ISNUMBER(#REF!),ISNUMBER(#REF!)),SUM(#REF!,#REF!,#REF!),"")</f>
        <v/>
      </c>
      <c r="S364" s="294"/>
      <c r="T364" s="294"/>
      <c r="U364" s="294"/>
      <c r="V364" s="294"/>
      <c r="W364" s="294"/>
      <c r="X364" s="294"/>
      <c r="Y364" s="294"/>
      <c r="Z364" s="294"/>
      <c r="AA364" s="294"/>
      <c r="AB364" s="294"/>
      <c r="AC364" s="294"/>
      <c r="AD364" s="294"/>
      <c r="AE364" s="294"/>
      <c r="AF364" s="294"/>
      <c r="AG364" s="294"/>
      <c r="AH364" s="294"/>
      <c r="AI364" s="294"/>
      <c r="AJ364" s="294"/>
      <c r="AK364" s="295"/>
      <c r="AL364" s="295"/>
      <c r="AM364" s="295"/>
      <c r="AN364" s="295"/>
      <c r="AO364" s="295"/>
      <c r="AP364" s="295"/>
      <c r="AQ364" s="295"/>
      <c r="AR364" s="295"/>
      <c r="AS364" s="295"/>
      <c r="AT364" s="295"/>
      <c r="AU364" s="295"/>
      <c r="AV364" s="295"/>
      <c r="AW364" s="295"/>
      <c r="AX364" s="295"/>
      <c r="AY364" s="295"/>
      <c r="AZ364" s="295"/>
      <c r="BA364" s="295"/>
      <c r="BB364" s="295"/>
    </row>
    <row r="365" spans="1:56" s="30" customFormat="1" ht="15.75" x14ac:dyDescent="0.2">
      <c r="B365" s="8"/>
      <c r="C365" s="33"/>
      <c r="D365" s="81"/>
      <c r="G365" s="33" t="s">
        <v>43</v>
      </c>
      <c r="H365" s="81"/>
      <c r="K365" s="37" t="s">
        <v>297</v>
      </c>
      <c r="L365" s="37" t="s">
        <v>185</v>
      </c>
      <c r="M365" s="81"/>
      <c r="N365" s="81"/>
      <c r="O365" s="249" t="s">
        <v>584</v>
      </c>
      <c r="Q365" s="34"/>
      <c r="R365" s="35" t="s">
        <v>318</v>
      </c>
      <c r="S365" s="35"/>
      <c r="T365" s="35" t="s">
        <v>238</v>
      </c>
      <c r="U365" s="35" t="s">
        <v>239</v>
      </c>
      <c r="V365" s="35" t="s">
        <v>240</v>
      </c>
      <c r="W365" s="35" t="s">
        <v>243</v>
      </c>
      <c r="X365" s="35" t="s">
        <v>241</v>
      </c>
      <c r="Y365" s="35" t="s">
        <v>242</v>
      </c>
      <c r="Z365" s="35" t="s">
        <v>244</v>
      </c>
      <c r="AA365" s="104"/>
      <c r="AB365" s="35"/>
      <c r="AC365" s="35"/>
      <c r="AD365" s="35"/>
      <c r="AE365" s="35"/>
      <c r="AF365" s="35"/>
      <c r="AG365" s="35"/>
      <c r="AH365" s="35"/>
      <c r="AI365" s="35"/>
      <c r="AJ365" s="35"/>
      <c r="AK365" s="36"/>
      <c r="AL365" s="36"/>
      <c r="AM365" s="36"/>
      <c r="AN365" s="36"/>
      <c r="AO365" s="36"/>
      <c r="AP365" s="36"/>
      <c r="AQ365" s="36"/>
      <c r="AR365" s="36"/>
      <c r="AS365" s="36"/>
      <c r="AT365" s="36"/>
      <c r="AU365" s="36"/>
      <c r="AV365" s="36"/>
      <c r="AW365" s="36"/>
      <c r="AX365" s="36"/>
      <c r="AY365" s="36"/>
      <c r="AZ365" s="36"/>
      <c r="BA365" s="36"/>
      <c r="BB365" s="36"/>
    </row>
    <row r="366" spans="1:56" s="30" customFormat="1" ht="15" x14ac:dyDescent="0.2">
      <c r="B366" s="76" t="s">
        <v>295</v>
      </c>
      <c r="C366" s="156"/>
      <c r="D366" s="81" t="s">
        <v>216</v>
      </c>
      <c r="G366" s="156"/>
      <c r="H366" s="81" t="s">
        <v>44</v>
      </c>
      <c r="J366" s="32" t="s">
        <v>514</v>
      </c>
      <c r="K366" s="108" t="str">
        <f>IFERROR(IF(ISNUMBER(L366),L366,VLOOKUP(C368,Kalusto!$C$100:$E$105,3,FALSE)),"--")</f>
        <v>--</v>
      </c>
      <c r="L366" s="61"/>
      <c r="M366" s="75" t="str">
        <f>IF(C368=Pudotusvalikot!$J$9,"kWh/100 km",IF(C368=Pudotusvalikot!$J$6,"kg/100 km","l/100 km"))</f>
        <v>l/100 km</v>
      </c>
      <c r="N366" s="75"/>
      <c r="O366" s="250"/>
      <c r="Q366" s="34"/>
      <c r="R366" s="105">
        <f>SUM(U366:Z366)</f>
        <v>0</v>
      </c>
      <c r="S366" s="98" t="s">
        <v>160</v>
      </c>
      <c r="T366" s="46">
        <f>IF(ISNUMBER(C367*C366*50*G366),C367*C366*50*G366,"")</f>
        <v>0</v>
      </c>
      <c r="U366" s="48">
        <f>IF(ISNUMBER(T366),IF(C368=Pudotusvalikot!$J$5,(Muut!$F$16+Muut!$F$19)*(T366*K366/100),0),"")</f>
        <v>0</v>
      </c>
      <c r="V366" s="48">
        <f>IF(ISNUMBER(T366),IF(C368=Pudotusvalikot!$J$4,(Muut!$F$15+Muut!$F$18)*(T366*K366/100),0),"")</f>
        <v>0</v>
      </c>
      <c r="W366" s="48">
        <f>IF(ISNUMBER(T366),IF(C368=Pudotusvalikot!$J$6,(Muut!$F$17+Muut!$F$20)*(T366*K366/100),0),"")</f>
        <v>0</v>
      </c>
      <c r="X366" s="48">
        <f>IF(ISNUMBER(T366),IF(C368=Pudotusvalikot!$J$7,((Muut!$F$16+Muut!$F$19)*(100%-Kalusto!$O$103)+(Muut!$F$15+Muut!$F$18)*Kalusto!$O$103)*(T366*K366/100),0),"")</f>
        <v>0</v>
      </c>
      <c r="Y366" s="72">
        <f>IF(ISNUMBER(T366),IF(C368=Pudotusvalikot!$J$8,((Kalusto!$K$104)*(100%-Kalusto!$O$104)+(Kalusto!$M$104)*Kalusto!$O$104)*(Muut!$F$14+Muut!$F$13)/100*T366/1000+((Kalusto!$G$104)*(100%-Kalusto!$O$104)+(Kalusto!$I$104)*Kalusto!$O$104)*(K366+Muut!$F$19)/100*T366,0),"")</f>
        <v>0</v>
      </c>
      <c r="Z366" s="72">
        <f>IF(ISNUMBER(T366),IF(C368=Pudotusvalikot!$J$9,Kalusto!$E$105*(K366+Muut!$F$13)/100*T366/1000,0),"")</f>
        <v>0</v>
      </c>
      <c r="AA366" s="104"/>
      <c r="AB366" s="35"/>
      <c r="AC366" s="35"/>
      <c r="AD366" s="35"/>
      <c r="AE366" s="35"/>
      <c r="AF366" s="35"/>
      <c r="AG366" s="35"/>
      <c r="AH366" s="35"/>
      <c r="AI366" s="35"/>
      <c r="AJ366" s="35"/>
      <c r="AK366" s="36"/>
      <c r="AL366" s="36"/>
      <c r="AM366" s="36"/>
      <c r="AN366" s="36"/>
      <c r="AO366" s="36"/>
      <c r="AP366" s="36"/>
      <c r="AQ366" s="36"/>
      <c r="AR366" s="36"/>
      <c r="AS366" s="36"/>
      <c r="AT366" s="36"/>
      <c r="AU366" s="36"/>
      <c r="AV366" s="36"/>
      <c r="AW366" s="36"/>
      <c r="AX366" s="36"/>
      <c r="AY366" s="36"/>
      <c r="AZ366" s="36"/>
      <c r="BA366" s="36"/>
      <c r="BB366" s="36"/>
    </row>
    <row r="367" spans="1:56" s="30" customFormat="1" ht="15" x14ac:dyDescent="0.2">
      <c r="B367" s="44" t="s">
        <v>296</v>
      </c>
      <c r="C367" s="156"/>
      <c r="D367" s="81" t="s">
        <v>5</v>
      </c>
      <c r="G367" s="33"/>
      <c r="H367" s="81"/>
      <c r="K367" s="130"/>
      <c r="L367" s="37"/>
      <c r="M367" s="81"/>
      <c r="N367" s="81"/>
      <c r="O367" s="251"/>
      <c r="Q367" s="34"/>
      <c r="R367" s="35" t="s">
        <v>318</v>
      </c>
      <c r="S367" s="35"/>
      <c r="T367" s="35" t="s">
        <v>238</v>
      </c>
      <c r="U367" s="35" t="s">
        <v>239</v>
      </c>
      <c r="V367" s="35" t="s">
        <v>240</v>
      </c>
      <c r="W367" s="35" t="s">
        <v>243</v>
      </c>
      <c r="X367" s="35" t="s">
        <v>241</v>
      </c>
      <c r="Y367" s="35" t="s">
        <v>242</v>
      </c>
      <c r="Z367" s="35" t="s">
        <v>244</v>
      </c>
      <c r="AA367" s="104"/>
      <c r="AB367" s="35"/>
      <c r="AC367" s="35"/>
      <c r="AD367" s="35"/>
      <c r="AE367" s="35"/>
      <c r="AF367" s="35"/>
      <c r="AG367" s="35"/>
      <c r="AH367" s="35"/>
      <c r="AI367" s="35"/>
      <c r="AJ367" s="35"/>
      <c r="AK367" s="36"/>
      <c r="AL367" s="36"/>
      <c r="AM367" s="36"/>
      <c r="AN367" s="36"/>
      <c r="AO367" s="36"/>
      <c r="AP367" s="36"/>
      <c r="AQ367" s="36"/>
      <c r="AR367" s="36"/>
      <c r="AS367" s="36"/>
      <c r="AT367" s="36"/>
      <c r="AU367" s="36"/>
      <c r="AV367" s="36"/>
      <c r="AW367" s="36"/>
      <c r="AX367" s="36"/>
      <c r="AY367" s="36"/>
      <c r="AZ367" s="36"/>
      <c r="BA367" s="36"/>
      <c r="BB367" s="36"/>
    </row>
    <row r="368" spans="1:56" s="30" customFormat="1" ht="15" x14ac:dyDescent="0.2">
      <c r="B368" s="52" t="s">
        <v>524</v>
      </c>
      <c r="C368" s="474" t="s">
        <v>309</v>
      </c>
      <c r="D368" s="474"/>
      <c r="G368" s="33"/>
      <c r="H368" s="81"/>
      <c r="J368" s="32"/>
      <c r="K368" s="33"/>
      <c r="L368" s="33"/>
      <c r="M368" s="81"/>
      <c r="N368" s="81"/>
      <c r="O368" s="251"/>
      <c r="Q368" s="34"/>
      <c r="R368" s="95"/>
      <c r="S368" s="35"/>
      <c r="T368" s="35"/>
      <c r="U368" s="35"/>
      <c r="V368" s="35"/>
      <c r="W368" s="35"/>
      <c r="X368" s="35"/>
      <c r="Y368" s="35"/>
      <c r="Z368" s="35"/>
      <c r="AA368" s="35"/>
      <c r="AB368" s="35"/>
      <c r="AC368" s="35"/>
      <c r="AD368" s="35"/>
      <c r="AE368" s="35"/>
      <c r="AF368" s="35"/>
      <c r="AG368" s="35"/>
      <c r="AH368" s="35"/>
      <c r="AI368" s="35"/>
      <c r="AJ368" s="35"/>
      <c r="AK368" s="36"/>
      <c r="AL368" s="36"/>
      <c r="AM368" s="36"/>
      <c r="AN368" s="36"/>
      <c r="AO368" s="36"/>
      <c r="AP368" s="36"/>
      <c r="AQ368" s="36"/>
      <c r="AR368" s="36"/>
      <c r="AS368" s="36"/>
      <c r="AT368" s="36"/>
      <c r="AU368" s="36"/>
      <c r="AV368" s="36"/>
      <c r="AW368" s="36"/>
      <c r="AX368" s="36"/>
      <c r="AY368" s="36"/>
      <c r="AZ368" s="36"/>
      <c r="BA368" s="36"/>
      <c r="BB368" s="36"/>
    </row>
    <row r="369" spans="1:56" s="30" customFormat="1" ht="15" x14ac:dyDescent="0.2">
      <c r="B369" s="52"/>
      <c r="C369" s="33"/>
      <c r="D369" s="33"/>
      <c r="G369" s="33"/>
      <c r="H369" s="81"/>
      <c r="J369" s="32"/>
      <c r="K369" s="33"/>
      <c r="L369" s="33"/>
      <c r="M369" s="81"/>
      <c r="N369" s="81"/>
      <c r="O369" s="251"/>
      <c r="Q369" s="34"/>
      <c r="R369" s="95"/>
      <c r="S369" s="35"/>
      <c r="T369" s="35"/>
      <c r="U369" s="35"/>
      <c r="V369" s="35"/>
      <c r="W369" s="35"/>
      <c r="X369" s="35"/>
      <c r="Y369" s="35"/>
      <c r="Z369" s="35"/>
      <c r="AA369" s="35"/>
      <c r="AB369" s="35"/>
      <c r="AC369" s="35"/>
      <c r="AD369" s="35"/>
      <c r="AE369" s="35"/>
      <c r="AF369" s="35"/>
      <c r="AG369" s="35"/>
      <c r="AH369" s="35"/>
      <c r="AI369" s="35"/>
      <c r="AJ369" s="35"/>
      <c r="AK369" s="36"/>
      <c r="AL369" s="36"/>
      <c r="AM369" s="36"/>
      <c r="AN369" s="36"/>
      <c r="AO369" s="36"/>
      <c r="AP369" s="36"/>
      <c r="AQ369" s="36"/>
      <c r="AR369" s="36"/>
      <c r="AS369" s="36"/>
      <c r="AT369" s="36"/>
      <c r="AU369" s="36"/>
      <c r="AV369" s="36"/>
      <c r="AW369" s="36"/>
      <c r="AX369" s="36"/>
      <c r="AY369" s="36"/>
      <c r="AZ369" s="36"/>
      <c r="BA369" s="36"/>
      <c r="BB369" s="36"/>
    </row>
    <row r="370" spans="1:56" s="192" customFormat="1" ht="23.25" x14ac:dyDescent="0.2">
      <c r="B370" s="193" t="s">
        <v>517</v>
      </c>
      <c r="C370" s="194"/>
      <c r="D370" s="195"/>
      <c r="G370" s="194"/>
      <c r="H370" s="195"/>
      <c r="J370" s="196"/>
      <c r="O370" s="257"/>
      <c r="P370" s="197"/>
      <c r="Q370" s="198"/>
      <c r="R370" s="199"/>
      <c r="S370" s="198"/>
      <c r="T370" s="200"/>
      <c r="U370" s="201"/>
      <c r="V370" s="201"/>
      <c r="W370" s="201"/>
      <c r="X370" s="201"/>
      <c r="Y370" s="201"/>
      <c r="Z370" s="201"/>
      <c r="AA370" s="201"/>
      <c r="AB370" s="201"/>
      <c r="AC370" s="201"/>
      <c r="AD370" s="201"/>
      <c r="AE370" s="201"/>
      <c r="AF370" s="201"/>
      <c r="AG370" s="201"/>
      <c r="AH370" s="201"/>
      <c r="AI370" s="201"/>
      <c r="AJ370" s="201"/>
      <c r="AK370" s="201"/>
      <c r="AL370" s="201"/>
      <c r="AM370" s="200"/>
      <c r="AN370" s="200"/>
      <c r="AO370" s="200"/>
      <c r="AP370" s="200"/>
      <c r="AQ370" s="200"/>
      <c r="AR370" s="200"/>
      <c r="AS370" s="200"/>
      <c r="AT370" s="200"/>
      <c r="AU370" s="200"/>
      <c r="AV370" s="200"/>
      <c r="AW370" s="200"/>
      <c r="AX370" s="200"/>
      <c r="AY370" s="200"/>
      <c r="AZ370" s="200"/>
      <c r="BA370" s="200"/>
      <c r="BB370" s="200"/>
      <c r="BC370" s="387"/>
      <c r="BD370" s="387"/>
    </row>
    <row r="371" spans="1:56" s="30" customFormat="1" ht="15.75" x14ac:dyDescent="0.2">
      <c r="B371" s="8"/>
      <c r="C371" s="33"/>
      <c r="D371" s="81"/>
      <c r="G371" s="33"/>
      <c r="H371" s="81"/>
      <c r="O371" s="167"/>
      <c r="P371" s="67"/>
      <c r="Q371" s="104"/>
      <c r="R371" s="94"/>
      <c r="S371" s="104"/>
      <c r="T371" s="36"/>
      <c r="U371" s="35"/>
      <c r="V371" s="35"/>
      <c r="W371" s="35"/>
      <c r="X371" s="35"/>
      <c r="Y371" s="35"/>
      <c r="Z371" s="35"/>
      <c r="AA371" s="35"/>
      <c r="AB371" s="35"/>
      <c r="AC371" s="35"/>
      <c r="AD371" s="35"/>
      <c r="AE371" s="35"/>
      <c r="AF371" s="35"/>
      <c r="AG371" s="35"/>
      <c r="AH371" s="35"/>
      <c r="AI371" s="35"/>
      <c r="AJ371" s="35"/>
      <c r="AK371" s="35"/>
      <c r="AL371" s="35"/>
      <c r="AM371" s="36"/>
      <c r="AN371" s="36"/>
      <c r="AO371" s="36"/>
      <c r="AP371" s="36"/>
      <c r="AQ371" s="36"/>
      <c r="AR371" s="36"/>
      <c r="AS371" s="36"/>
      <c r="AT371" s="36"/>
      <c r="AU371" s="36"/>
      <c r="AV371" s="36"/>
      <c r="AW371" s="36"/>
      <c r="AX371" s="36"/>
      <c r="AY371" s="36"/>
      <c r="AZ371" s="36"/>
      <c r="BA371" s="36"/>
      <c r="BB371" s="36"/>
      <c r="BC371" s="54"/>
      <c r="BD371" s="54"/>
    </row>
    <row r="372" spans="1:56" s="30" customFormat="1" ht="18" x14ac:dyDescent="0.2">
      <c r="A372" s="289"/>
      <c r="B372" s="286" t="s">
        <v>440</v>
      </c>
      <c r="C372" s="287"/>
      <c r="D372" s="288"/>
      <c r="E372" s="289"/>
      <c r="F372" s="289"/>
      <c r="G372" s="287"/>
      <c r="H372" s="288"/>
      <c r="I372" s="289"/>
      <c r="J372" s="289"/>
      <c r="K372" s="290"/>
      <c r="L372" s="290"/>
      <c r="M372" s="288"/>
      <c r="N372" s="288"/>
      <c r="O372" s="291"/>
      <c r="P372" s="289"/>
      <c r="Q372" s="292"/>
      <c r="R372" s="293" t="str">
        <f>IF(OR(ISNUMBER(#REF!),ISNUMBER(#REF!),ISNUMBER(#REF!)),SUM(#REF!,#REF!,#REF!),"")</f>
        <v/>
      </c>
      <c r="S372" s="294"/>
      <c r="T372" s="294"/>
      <c r="U372" s="294"/>
      <c r="V372" s="294"/>
      <c r="W372" s="294"/>
      <c r="X372" s="294"/>
      <c r="Y372" s="294"/>
      <c r="Z372" s="294"/>
      <c r="AA372" s="294"/>
      <c r="AB372" s="294"/>
      <c r="AC372" s="294"/>
      <c r="AD372" s="294"/>
      <c r="AE372" s="294"/>
      <c r="AF372" s="294"/>
      <c r="AG372" s="294"/>
      <c r="AH372" s="294"/>
      <c r="AI372" s="294"/>
      <c r="AJ372" s="294"/>
      <c r="AK372" s="295"/>
      <c r="AL372" s="295"/>
      <c r="AM372" s="295"/>
      <c r="AN372" s="295"/>
      <c r="AO372" s="295"/>
      <c r="AP372" s="295"/>
      <c r="AQ372" s="295"/>
      <c r="AR372" s="295"/>
      <c r="AS372" s="295"/>
      <c r="AT372" s="295"/>
      <c r="AU372" s="295"/>
      <c r="AV372" s="295"/>
      <c r="AW372" s="295"/>
      <c r="AX372" s="295"/>
      <c r="AY372" s="295"/>
      <c r="AZ372" s="295"/>
      <c r="BA372" s="295"/>
      <c r="BB372" s="295"/>
    </row>
    <row r="373" spans="1:56" s="30" customFormat="1" ht="15.75" x14ac:dyDescent="0.2">
      <c r="B373" s="175"/>
      <c r="C373" s="33"/>
      <c r="D373" s="81"/>
      <c r="G373" s="33"/>
      <c r="H373" s="81"/>
      <c r="K373" s="33"/>
      <c r="L373" s="33"/>
      <c r="M373" s="81"/>
      <c r="N373" s="81"/>
      <c r="O373" s="249"/>
      <c r="Q373" s="34"/>
      <c r="R373" s="95"/>
      <c r="S373" s="35"/>
      <c r="T373" s="35"/>
      <c r="U373" s="35"/>
      <c r="V373" s="35"/>
      <c r="W373" s="35"/>
      <c r="X373" s="35"/>
      <c r="Y373" s="35"/>
      <c r="Z373" s="35"/>
      <c r="AA373" s="35"/>
      <c r="AB373" s="35"/>
      <c r="AC373" s="35"/>
      <c r="AD373" s="35"/>
      <c r="AE373" s="35"/>
      <c r="AF373" s="35"/>
      <c r="AG373" s="35"/>
      <c r="AH373" s="35"/>
      <c r="AI373" s="35"/>
      <c r="AJ373" s="35"/>
      <c r="AK373" s="36"/>
      <c r="AL373" s="36"/>
      <c r="AM373" s="36"/>
      <c r="AN373" s="36"/>
      <c r="AO373" s="36"/>
      <c r="AP373" s="36"/>
      <c r="AQ373" s="36"/>
      <c r="AR373" s="36"/>
      <c r="AS373" s="36"/>
      <c r="AT373" s="36"/>
      <c r="AU373" s="36"/>
      <c r="AV373" s="36"/>
      <c r="AW373" s="36"/>
      <c r="AX373" s="36"/>
      <c r="AY373" s="36"/>
      <c r="AZ373" s="36"/>
      <c r="BA373" s="36"/>
      <c r="BB373" s="36"/>
    </row>
    <row r="374" spans="1:56" s="30" customFormat="1" ht="18" x14ac:dyDescent="0.2">
      <c r="A374" s="289"/>
      <c r="B374" s="286" t="s">
        <v>55</v>
      </c>
      <c r="C374" s="287"/>
      <c r="D374" s="288"/>
      <c r="E374" s="289"/>
      <c r="F374" s="289"/>
      <c r="G374" s="287"/>
      <c r="H374" s="288"/>
      <c r="I374" s="289"/>
      <c r="J374" s="289"/>
      <c r="K374" s="290"/>
      <c r="L374" s="290"/>
      <c r="M374" s="288"/>
      <c r="N374" s="288"/>
      <c r="O374" s="291"/>
      <c r="P374" s="289"/>
      <c r="Q374" s="292"/>
      <c r="R374" s="293" t="str">
        <f>IF(OR(ISNUMBER(#REF!),ISNUMBER(#REF!),ISNUMBER(#REF!)),SUM(#REF!,#REF!,#REF!),"")</f>
        <v/>
      </c>
      <c r="S374" s="294"/>
      <c r="T374" s="294"/>
      <c r="U374" s="294"/>
      <c r="V374" s="294"/>
      <c r="W374" s="294"/>
      <c r="X374" s="294"/>
      <c r="Y374" s="294"/>
      <c r="Z374" s="294"/>
      <c r="AA374" s="294"/>
      <c r="AB374" s="294"/>
      <c r="AC374" s="294"/>
      <c r="AD374" s="294"/>
      <c r="AE374" s="294"/>
      <c r="AF374" s="294"/>
      <c r="AG374" s="294"/>
      <c r="AH374" s="294"/>
      <c r="AI374" s="294"/>
      <c r="AJ374" s="294"/>
      <c r="AK374" s="295"/>
      <c r="AL374" s="295"/>
      <c r="AM374" s="295"/>
      <c r="AN374" s="295"/>
      <c r="AO374" s="295"/>
      <c r="AP374" s="295"/>
      <c r="AQ374" s="295"/>
      <c r="AR374" s="295"/>
      <c r="AS374" s="295"/>
      <c r="AT374" s="295"/>
      <c r="AU374" s="295"/>
      <c r="AV374" s="295"/>
      <c r="AW374" s="295"/>
      <c r="AX374" s="295"/>
      <c r="AY374" s="295"/>
      <c r="AZ374" s="295"/>
      <c r="BA374" s="295"/>
      <c r="BB374" s="295"/>
    </row>
    <row r="375" spans="1:56" s="30" customFormat="1" ht="15.75" x14ac:dyDescent="0.2">
      <c r="B375" s="8"/>
      <c r="C375" s="33"/>
      <c r="D375" s="81"/>
      <c r="G375" s="33"/>
      <c r="H375" s="81"/>
      <c r="K375" s="33"/>
      <c r="L375" s="33"/>
      <c r="M375" s="81"/>
      <c r="N375" s="81"/>
      <c r="O375" s="249" t="s">
        <v>584</v>
      </c>
      <c r="Q375" s="34"/>
      <c r="R375" s="95"/>
      <c r="S375" s="35"/>
      <c r="T375" s="35"/>
      <c r="U375" s="35"/>
      <c r="V375" s="35"/>
      <c r="W375" s="35"/>
      <c r="X375" s="35"/>
      <c r="Y375" s="35"/>
      <c r="Z375" s="35"/>
      <c r="AA375" s="35"/>
      <c r="AB375" s="35"/>
      <c r="AC375" s="35"/>
      <c r="AD375" s="35"/>
      <c r="AE375" s="35"/>
      <c r="AF375" s="35"/>
      <c r="AG375" s="35"/>
      <c r="AH375" s="35"/>
      <c r="AI375" s="35"/>
      <c r="AJ375" s="35"/>
      <c r="AK375" s="36"/>
      <c r="AL375" s="36"/>
      <c r="AM375" s="36"/>
      <c r="AN375" s="36"/>
      <c r="AO375" s="36"/>
      <c r="AP375" s="36"/>
      <c r="AQ375" s="36"/>
      <c r="AR375" s="36"/>
      <c r="AS375" s="36"/>
      <c r="AT375" s="36"/>
      <c r="AU375" s="36"/>
      <c r="AV375" s="36"/>
      <c r="AW375" s="36"/>
      <c r="AX375" s="36"/>
      <c r="AY375" s="36"/>
      <c r="AZ375" s="36"/>
      <c r="BA375" s="36"/>
      <c r="BB375" s="36"/>
    </row>
    <row r="376" spans="1:56" s="30" customFormat="1" ht="15" x14ac:dyDescent="0.2">
      <c r="B376" s="151" t="s">
        <v>441</v>
      </c>
      <c r="C376" s="33"/>
      <c r="D376" s="81"/>
      <c r="G376" s="33"/>
      <c r="H376" s="81"/>
      <c r="K376" s="37" t="s">
        <v>297</v>
      </c>
      <c r="L376" s="37" t="s">
        <v>185</v>
      </c>
      <c r="M376" s="81"/>
      <c r="N376" s="81"/>
      <c r="O376" s="250"/>
      <c r="Q376" s="34"/>
      <c r="R376" s="35" t="s">
        <v>318</v>
      </c>
      <c r="S376" s="35"/>
      <c r="T376" s="35" t="s">
        <v>246</v>
      </c>
      <c r="U376" s="104"/>
      <c r="V376" s="35"/>
      <c r="W376" s="35"/>
      <c r="X376" s="35"/>
      <c r="Y376" s="35"/>
      <c r="Z376" s="35"/>
      <c r="AA376" s="35"/>
      <c r="AB376" s="35"/>
      <c r="AC376" s="35"/>
      <c r="AD376" s="35"/>
      <c r="AE376" s="35"/>
      <c r="AF376" s="35"/>
      <c r="AG376" s="35"/>
      <c r="AH376" s="35"/>
      <c r="AI376" s="35"/>
      <c r="AJ376" s="35"/>
      <c r="AK376" s="36"/>
      <c r="AL376" s="36"/>
      <c r="AM376" s="36"/>
      <c r="AN376" s="36"/>
      <c r="AO376" s="36"/>
      <c r="AP376" s="36"/>
      <c r="AQ376" s="36"/>
      <c r="AR376" s="36"/>
      <c r="AS376" s="36"/>
      <c r="AT376" s="36"/>
      <c r="AU376" s="36"/>
      <c r="AV376" s="36"/>
      <c r="AW376" s="36"/>
      <c r="AX376" s="36"/>
      <c r="AY376" s="36"/>
      <c r="AZ376" s="36"/>
      <c r="BA376" s="36"/>
      <c r="BB376" s="36"/>
    </row>
    <row r="377" spans="1:56" s="30" customFormat="1" ht="15" x14ac:dyDescent="0.2">
      <c r="B377" s="52" t="s">
        <v>461</v>
      </c>
      <c r="C377" s="471" t="s">
        <v>300</v>
      </c>
      <c r="D377" s="472"/>
      <c r="E377" s="472"/>
      <c r="F377" s="472"/>
      <c r="G377" s="473"/>
      <c r="H377" s="81"/>
      <c r="J377" s="32" t="s">
        <v>424</v>
      </c>
      <c r="K377" s="92" t="str">
        <f>IFERROR(IF(ISNUMBER(L377),L377,(VLOOKUP(C377,Kalusto!$C$5:$E$42,3,FALSE))*(VLOOKUP(C378,Muut!$D$40:$E$43,2,FALSE))),"--")</f>
        <v>--</v>
      </c>
      <c r="L377" s="39"/>
      <c r="M377" s="40" t="s">
        <v>189</v>
      </c>
      <c r="N377" s="40"/>
      <c r="O377" s="250"/>
      <c r="Q377" s="34"/>
      <c r="R377" s="48" t="str">
        <f>IF(ISNUMBER(K377*T377),K377*T377,"")</f>
        <v/>
      </c>
      <c r="S377" s="98" t="s">
        <v>160</v>
      </c>
      <c r="T377" s="48" t="str">
        <f>IF(ISNUMBER(C379),C379,"")</f>
        <v/>
      </c>
      <c r="U377" s="104"/>
      <c r="V377" s="59"/>
      <c r="W377" s="35"/>
      <c r="X377" s="35"/>
      <c r="Y377" s="35"/>
      <c r="Z377" s="35"/>
      <c r="AA377" s="35"/>
      <c r="AB377" s="35"/>
      <c r="AC377" s="35"/>
      <c r="AD377" s="35"/>
      <c r="AE377" s="35"/>
      <c r="AF377" s="35"/>
      <c r="AG377" s="35"/>
      <c r="AH377" s="35"/>
      <c r="AI377" s="35"/>
      <c r="AJ377" s="35"/>
      <c r="AK377" s="36"/>
      <c r="AL377" s="36"/>
      <c r="AM377" s="36"/>
      <c r="AN377" s="36"/>
      <c r="AO377" s="36"/>
      <c r="AP377" s="36"/>
      <c r="AQ377" s="36"/>
      <c r="AR377" s="36"/>
      <c r="AS377" s="36"/>
      <c r="AT377" s="36"/>
      <c r="AU377" s="36"/>
      <c r="AV377" s="36"/>
      <c r="AW377" s="36"/>
      <c r="AX377" s="36"/>
      <c r="AY377" s="36"/>
      <c r="AZ377" s="36"/>
      <c r="BA377" s="36"/>
      <c r="BB377" s="36"/>
    </row>
    <row r="378" spans="1:56" s="30" customFormat="1" ht="15" x14ac:dyDescent="0.2">
      <c r="B378" s="166" t="s">
        <v>460</v>
      </c>
      <c r="C378" s="156" t="s">
        <v>309</v>
      </c>
      <c r="D378" s="33"/>
      <c r="E378" s="33"/>
      <c r="F378" s="33"/>
      <c r="G378" s="33"/>
      <c r="H378" s="57"/>
      <c r="J378" s="169"/>
      <c r="K378" s="169"/>
      <c r="L378" s="169"/>
      <c r="M378" s="40"/>
      <c r="N378" s="40"/>
      <c r="O378" s="250"/>
      <c r="Q378" s="45"/>
      <c r="R378" s="59"/>
      <c r="S378" s="98"/>
      <c r="T378" s="35"/>
      <c r="U378" s="35"/>
      <c r="V378" s="177"/>
      <c r="W378" s="177"/>
      <c r="X378" s="59"/>
      <c r="Y378" s="35"/>
      <c r="Z378" s="59"/>
      <c r="AA378" s="178"/>
      <c r="AB378" s="59"/>
      <c r="AC378" s="59"/>
      <c r="AD378" s="59"/>
      <c r="AE378" s="59"/>
      <c r="AF378" s="178"/>
      <c r="AG378" s="59"/>
      <c r="AH378" s="104"/>
      <c r="AI378" s="35"/>
      <c r="AJ378" s="35"/>
      <c r="AK378" s="36"/>
      <c r="AL378" s="36"/>
      <c r="AM378" s="36"/>
      <c r="AN378" s="36"/>
      <c r="AO378" s="36"/>
      <c r="AP378" s="36"/>
      <c r="AQ378" s="36"/>
      <c r="AR378" s="36"/>
      <c r="AS378" s="36"/>
      <c r="AT378" s="36"/>
      <c r="AU378" s="36"/>
      <c r="AV378" s="36"/>
      <c r="AW378" s="36"/>
      <c r="AX378" s="36"/>
      <c r="AY378" s="36"/>
      <c r="AZ378" s="36"/>
      <c r="BA378" s="36"/>
      <c r="BB378" s="36"/>
    </row>
    <row r="379" spans="1:56" s="30" customFormat="1" ht="15" x14ac:dyDescent="0.2">
      <c r="B379" s="52" t="s">
        <v>357</v>
      </c>
      <c r="C379" s="189"/>
      <c r="D379" s="81" t="s">
        <v>51</v>
      </c>
      <c r="G379" s="33"/>
      <c r="H379" s="81"/>
      <c r="J379" s="32"/>
      <c r="K379" s="33"/>
      <c r="L379" s="33"/>
      <c r="M379" s="81"/>
      <c r="N379" s="81"/>
      <c r="O379" s="251"/>
      <c r="Q379" s="34"/>
      <c r="R379" s="35"/>
      <c r="S379" s="35"/>
      <c r="T379" s="35"/>
      <c r="U379" s="104"/>
      <c r="V379" s="35"/>
      <c r="W379" s="35"/>
      <c r="X379" s="35"/>
      <c r="Y379" s="35"/>
      <c r="Z379" s="35"/>
      <c r="AA379" s="35"/>
      <c r="AB379" s="35"/>
      <c r="AC379" s="35"/>
      <c r="AD379" s="35"/>
      <c r="AE379" s="35"/>
      <c r="AF379" s="35"/>
      <c r="AG379" s="35"/>
      <c r="AH379" s="35"/>
      <c r="AI379" s="35"/>
      <c r="AJ379" s="35"/>
      <c r="AK379" s="36"/>
      <c r="AL379" s="36"/>
      <c r="AM379" s="36"/>
      <c r="AN379" s="36"/>
      <c r="AO379" s="36"/>
      <c r="AP379" s="36"/>
      <c r="AQ379" s="36"/>
      <c r="AR379" s="36"/>
      <c r="AS379" s="36"/>
      <c r="AT379" s="36"/>
      <c r="AU379" s="36"/>
      <c r="AV379" s="36"/>
      <c r="AW379" s="36"/>
      <c r="AX379" s="36"/>
      <c r="AY379" s="36"/>
      <c r="AZ379" s="36"/>
      <c r="BA379" s="36"/>
      <c r="BB379" s="36"/>
    </row>
    <row r="380" spans="1:56" s="30" customFormat="1" ht="15" x14ac:dyDescent="0.2">
      <c r="B380" s="151" t="s">
        <v>442</v>
      </c>
      <c r="C380" s="33"/>
      <c r="D380" s="81"/>
      <c r="G380" s="33"/>
      <c r="H380" s="81"/>
      <c r="J380" s="32"/>
      <c r="K380" s="37" t="s">
        <v>297</v>
      </c>
      <c r="L380" s="37" t="s">
        <v>185</v>
      </c>
      <c r="M380" s="81"/>
      <c r="N380" s="81"/>
      <c r="O380" s="251"/>
      <c r="Q380" s="34"/>
      <c r="R380" s="35" t="s">
        <v>318</v>
      </c>
      <c r="S380" s="35"/>
      <c r="T380" s="35" t="s">
        <v>246</v>
      </c>
      <c r="U380" s="104"/>
      <c r="V380" s="35"/>
      <c r="W380" s="35"/>
      <c r="X380" s="35"/>
      <c r="Y380" s="35"/>
      <c r="Z380" s="35"/>
      <c r="AA380" s="35"/>
      <c r="AB380" s="35"/>
      <c r="AC380" s="35"/>
      <c r="AD380" s="35"/>
      <c r="AE380" s="35"/>
      <c r="AF380" s="35"/>
      <c r="AG380" s="35"/>
      <c r="AH380" s="35"/>
      <c r="AI380" s="35"/>
      <c r="AJ380" s="35"/>
      <c r="AK380" s="36"/>
      <c r="AL380" s="36"/>
      <c r="AM380" s="36"/>
      <c r="AN380" s="36"/>
      <c r="AO380" s="36"/>
      <c r="AP380" s="36"/>
      <c r="AQ380" s="36"/>
      <c r="AR380" s="36"/>
      <c r="AS380" s="36"/>
      <c r="AT380" s="36"/>
      <c r="AU380" s="36"/>
      <c r="AV380" s="36"/>
      <c r="AW380" s="36"/>
      <c r="AX380" s="36"/>
      <c r="AY380" s="36"/>
      <c r="AZ380" s="36"/>
      <c r="BA380" s="36"/>
      <c r="BB380" s="36"/>
    </row>
    <row r="381" spans="1:56" s="30" customFormat="1" ht="15" x14ac:dyDescent="0.2">
      <c r="B381" s="52" t="s">
        <v>461</v>
      </c>
      <c r="C381" s="471" t="s">
        <v>300</v>
      </c>
      <c r="D381" s="472"/>
      <c r="E381" s="472"/>
      <c r="F381" s="472"/>
      <c r="G381" s="473"/>
      <c r="H381" s="81"/>
      <c r="J381" s="32" t="s">
        <v>424</v>
      </c>
      <c r="K381" s="92" t="str">
        <f>IFERROR(IF(ISNUMBER(L381),L381,(VLOOKUP(C381,Kalusto!$C$5:$E$42,3,FALSE))*(VLOOKUP(C382,Muut!$D$40:$E$43,2,FALSE))),"--")</f>
        <v>--</v>
      </c>
      <c r="L381" s="39"/>
      <c r="M381" s="40" t="s">
        <v>189</v>
      </c>
      <c r="N381" s="40"/>
      <c r="O381" s="250"/>
      <c r="Q381" s="34"/>
      <c r="R381" s="48" t="str">
        <f>IF(ISNUMBER(K381*T381),K381*T381,"")</f>
        <v/>
      </c>
      <c r="S381" s="98" t="s">
        <v>160</v>
      </c>
      <c r="T381" s="48" t="str">
        <f>IF(ISNUMBER(C383),C383,"")</f>
        <v/>
      </c>
      <c r="U381" s="104"/>
      <c r="V381" s="59"/>
      <c r="W381" s="35"/>
      <c r="X381" s="35"/>
      <c r="Y381" s="35"/>
      <c r="Z381" s="35"/>
      <c r="AA381" s="35"/>
      <c r="AB381" s="35"/>
      <c r="AC381" s="35"/>
      <c r="AD381" s="35"/>
      <c r="AE381" s="35"/>
      <c r="AF381" s="35"/>
      <c r="AG381" s="35"/>
      <c r="AH381" s="35"/>
      <c r="AI381" s="35"/>
      <c r="AJ381" s="35"/>
      <c r="AK381" s="36"/>
      <c r="AL381" s="36"/>
      <c r="AM381" s="36"/>
      <c r="AN381" s="36"/>
      <c r="AO381" s="36"/>
      <c r="AP381" s="36"/>
      <c r="AQ381" s="36"/>
      <c r="AR381" s="36"/>
      <c r="AS381" s="36"/>
      <c r="AT381" s="36"/>
      <c r="AU381" s="36"/>
      <c r="AV381" s="36"/>
      <c r="AW381" s="36"/>
      <c r="AX381" s="36"/>
      <c r="AY381" s="36"/>
      <c r="AZ381" s="36"/>
      <c r="BA381" s="36"/>
      <c r="BB381" s="36"/>
    </row>
    <row r="382" spans="1:56" s="30" customFormat="1" ht="15" x14ac:dyDescent="0.2">
      <c r="B382" s="166" t="s">
        <v>460</v>
      </c>
      <c r="C382" s="156" t="s">
        <v>309</v>
      </c>
      <c r="D382" s="33"/>
      <c r="E382" s="33"/>
      <c r="F382" s="33"/>
      <c r="G382" s="33"/>
      <c r="H382" s="57"/>
      <c r="J382" s="169"/>
      <c r="K382" s="169"/>
      <c r="L382" s="169"/>
      <c r="M382" s="40"/>
      <c r="N382" s="40"/>
      <c r="O382" s="250"/>
      <c r="Q382" s="45"/>
      <c r="R382" s="59"/>
      <c r="S382" s="98"/>
      <c r="T382" s="35"/>
      <c r="U382" s="35"/>
      <c r="V382" s="177"/>
      <c r="W382" s="177"/>
      <c r="X382" s="59"/>
      <c r="Y382" s="35"/>
      <c r="Z382" s="59"/>
      <c r="AA382" s="178"/>
      <c r="AB382" s="59"/>
      <c r="AC382" s="59"/>
      <c r="AD382" s="59"/>
      <c r="AE382" s="59"/>
      <c r="AF382" s="178"/>
      <c r="AG382" s="59"/>
      <c r="AH382" s="104"/>
      <c r="AI382" s="35"/>
      <c r="AJ382" s="35"/>
      <c r="AK382" s="36"/>
      <c r="AL382" s="36"/>
      <c r="AM382" s="36"/>
      <c r="AN382" s="36"/>
      <c r="AO382" s="36"/>
      <c r="AP382" s="36"/>
      <c r="AQ382" s="36"/>
      <c r="AR382" s="36"/>
      <c r="AS382" s="36"/>
      <c r="AT382" s="36"/>
      <c r="AU382" s="36"/>
      <c r="AV382" s="36"/>
      <c r="AW382" s="36"/>
      <c r="AX382" s="36"/>
      <c r="AY382" s="36"/>
      <c r="AZ382" s="36"/>
      <c r="BA382" s="36"/>
      <c r="BB382" s="36"/>
    </row>
    <row r="383" spans="1:56" s="30" customFormat="1" ht="15" x14ac:dyDescent="0.2">
      <c r="B383" s="52" t="s">
        <v>357</v>
      </c>
      <c r="C383" s="189"/>
      <c r="D383" s="81" t="s">
        <v>51</v>
      </c>
      <c r="G383" s="33"/>
      <c r="H383" s="81"/>
      <c r="J383" s="32"/>
      <c r="K383" s="33"/>
      <c r="L383" s="33"/>
      <c r="M383" s="81"/>
      <c r="N383" s="81"/>
      <c r="O383" s="251"/>
      <c r="Q383" s="34"/>
      <c r="R383" s="35"/>
      <c r="S383" s="35"/>
      <c r="T383" s="35"/>
      <c r="U383" s="104"/>
      <c r="V383" s="35"/>
      <c r="W383" s="35"/>
      <c r="X383" s="35"/>
      <c r="Y383" s="35"/>
      <c r="Z383" s="35"/>
      <c r="AA383" s="35"/>
      <c r="AB383" s="35"/>
      <c r="AC383" s="35"/>
      <c r="AD383" s="35"/>
      <c r="AE383" s="35"/>
      <c r="AF383" s="35"/>
      <c r="AG383" s="35"/>
      <c r="AH383" s="35"/>
      <c r="AI383" s="35"/>
      <c r="AJ383" s="35"/>
      <c r="AK383" s="36"/>
      <c r="AL383" s="36"/>
      <c r="AM383" s="36"/>
      <c r="AN383" s="36"/>
      <c r="AO383" s="36"/>
      <c r="AP383" s="36"/>
      <c r="AQ383" s="36"/>
      <c r="AR383" s="36"/>
      <c r="AS383" s="36"/>
      <c r="AT383" s="36"/>
      <c r="AU383" s="36"/>
      <c r="AV383" s="36"/>
      <c r="AW383" s="36"/>
      <c r="AX383" s="36"/>
      <c r="AY383" s="36"/>
      <c r="AZ383" s="36"/>
      <c r="BA383" s="36"/>
      <c r="BB383" s="36"/>
    </row>
    <row r="384" spans="1:56" s="30" customFormat="1" ht="15" x14ac:dyDescent="0.2">
      <c r="B384" s="151" t="s">
        <v>443</v>
      </c>
      <c r="C384" s="33"/>
      <c r="D384" s="81"/>
      <c r="G384" s="33"/>
      <c r="H384" s="81"/>
      <c r="J384" s="32"/>
      <c r="K384" s="37" t="s">
        <v>297</v>
      </c>
      <c r="L384" s="37" t="s">
        <v>185</v>
      </c>
      <c r="M384" s="81"/>
      <c r="N384" s="81"/>
      <c r="O384" s="251"/>
      <c r="Q384" s="34"/>
      <c r="R384" s="35" t="s">
        <v>318</v>
      </c>
      <c r="S384" s="35"/>
      <c r="T384" s="35" t="s">
        <v>246</v>
      </c>
      <c r="U384" s="104"/>
      <c r="V384" s="35"/>
      <c r="W384" s="35"/>
      <c r="X384" s="35"/>
      <c r="Y384" s="35"/>
      <c r="Z384" s="35"/>
      <c r="AA384" s="35"/>
      <c r="AB384" s="35"/>
      <c r="AC384" s="35"/>
      <c r="AD384" s="35"/>
      <c r="AE384" s="35"/>
      <c r="AF384" s="35"/>
      <c r="AG384" s="35"/>
      <c r="AH384" s="35"/>
      <c r="AI384" s="35"/>
      <c r="AJ384" s="35"/>
      <c r="AK384" s="36"/>
      <c r="AL384" s="36"/>
      <c r="AM384" s="36"/>
      <c r="AN384" s="36"/>
      <c r="AO384" s="36"/>
      <c r="AP384" s="36"/>
      <c r="AQ384" s="36"/>
      <c r="AR384" s="36"/>
      <c r="AS384" s="36"/>
      <c r="AT384" s="36"/>
      <c r="AU384" s="36"/>
      <c r="AV384" s="36"/>
      <c r="AW384" s="36"/>
      <c r="AX384" s="36"/>
      <c r="AY384" s="36"/>
      <c r="AZ384" s="36"/>
      <c r="BA384" s="36"/>
      <c r="BB384" s="36"/>
    </row>
    <row r="385" spans="1:54" s="30" customFormat="1" ht="15" x14ac:dyDescent="0.2">
      <c r="B385" s="52" t="s">
        <v>461</v>
      </c>
      <c r="C385" s="471" t="s">
        <v>300</v>
      </c>
      <c r="D385" s="472"/>
      <c r="E385" s="472"/>
      <c r="F385" s="472"/>
      <c r="G385" s="473"/>
      <c r="H385" s="81"/>
      <c r="J385" s="32" t="s">
        <v>424</v>
      </c>
      <c r="K385" s="92" t="str">
        <f>IFERROR(IF(ISNUMBER(L385),L385,(VLOOKUP(C385,Kalusto!$C$5:$E$42,3,FALSE))*(VLOOKUP(C386,Muut!$D$40:$E$43,2,FALSE))),"--")</f>
        <v>--</v>
      </c>
      <c r="L385" s="39"/>
      <c r="M385" s="40" t="s">
        <v>189</v>
      </c>
      <c r="N385" s="40"/>
      <c r="O385" s="250"/>
      <c r="Q385" s="34"/>
      <c r="R385" s="48" t="str">
        <f>IF(ISNUMBER(K385*T385),K385*T385,"")</f>
        <v/>
      </c>
      <c r="S385" s="98" t="s">
        <v>160</v>
      </c>
      <c r="T385" s="48" t="str">
        <f>IF(ISNUMBER(C387),C387,"")</f>
        <v/>
      </c>
      <c r="U385" s="104"/>
      <c r="V385" s="59"/>
      <c r="W385" s="35"/>
      <c r="X385" s="35"/>
      <c r="Y385" s="35"/>
      <c r="Z385" s="35"/>
      <c r="AA385" s="35"/>
      <c r="AB385" s="35"/>
      <c r="AC385" s="35"/>
      <c r="AD385" s="35"/>
      <c r="AE385" s="35"/>
      <c r="AF385" s="35"/>
      <c r="AG385" s="35"/>
      <c r="AH385" s="35"/>
      <c r="AI385" s="35"/>
      <c r="AJ385" s="35"/>
      <c r="AK385" s="36"/>
      <c r="AL385" s="36"/>
      <c r="AM385" s="36"/>
      <c r="AN385" s="36"/>
      <c r="AO385" s="36"/>
      <c r="AP385" s="36"/>
      <c r="AQ385" s="36"/>
      <c r="AR385" s="36"/>
      <c r="AS385" s="36"/>
      <c r="AT385" s="36"/>
      <c r="AU385" s="36"/>
      <c r="AV385" s="36"/>
      <c r="AW385" s="36"/>
      <c r="AX385" s="36"/>
      <c r="AY385" s="36"/>
      <c r="AZ385" s="36"/>
      <c r="BA385" s="36"/>
      <c r="BB385" s="36"/>
    </row>
    <row r="386" spans="1:54" s="30" customFormat="1" ht="15" x14ac:dyDescent="0.2">
      <c r="B386" s="166" t="s">
        <v>460</v>
      </c>
      <c r="C386" s="156" t="s">
        <v>309</v>
      </c>
      <c r="D386" s="33"/>
      <c r="E386" s="33"/>
      <c r="F386" s="33"/>
      <c r="G386" s="33"/>
      <c r="H386" s="57"/>
      <c r="J386" s="169"/>
      <c r="K386" s="169"/>
      <c r="L386" s="169"/>
      <c r="M386" s="40"/>
      <c r="N386" s="40"/>
      <c r="O386" s="250"/>
      <c r="Q386" s="45"/>
      <c r="R386" s="59"/>
      <c r="S386" s="98"/>
      <c r="T386" s="35"/>
      <c r="U386" s="35"/>
      <c r="V386" s="177"/>
      <c r="W386" s="177"/>
      <c r="X386" s="59"/>
      <c r="Y386" s="35"/>
      <c r="Z386" s="59"/>
      <c r="AA386" s="178"/>
      <c r="AB386" s="59"/>
      <c r="AC386" s="59"/>
      <c r="AD386" s="59"/>
      <c r="AE386" s="59"/>
      <c r="AF386" s="178"/>
      <c r="AG386" s="59"/>
      <c r="AH386" s="104"/>
      <c r="AI386" s="35"/>
      <c r="AJ386" s="35"/>
      <c r="AK386" s="36"/>
      <c r="AL386" s="36"/>
      <c r="AM386" s="36"/>
      <c r="AN386" s="36"/>
      <c r="AO386" s="36"/>
      <c r="AP386" s="36"/>
      <c r="AQ386" s="36"/>
      <c r="AR386" s="36"/>
      <c r="AS386" s="36"/>
      <c r="AT386" s="36"/>
      <c r="AU386" s="36"/>
      <c r="AV386" s="36"/>
      <c r="AW386" s="36"/>
      <c r="AX386" s="36"/>
      <c r="AY386" s="36"/>
      <c r="AZ386" s="36"/>
      <c r="BA386" s="36"/>
      <c r="BB386" s="36"/>
    </row>
    <row r="387" spans="1:54" s="30" customFormat="1" ht="15" x14ac:dyDescent="0.2">
      <c r="B387" s="52" t="s">
        <v>357</v>
      </c>
      <c r="C387" s="189"/>
      <c r="D387" s="81" t="s">
        <v>51</v>
      </c>
      <c r="G387" s="33"/>
      <c r="H387" s="81"/>
      <c r="J387" s="32"/>
      <c r="K387" s="33"/>
      <c r="L387" s="33"/>
      <c r="M387" s="81"/>
      <c r="N387" s="81"/>
      <c r="O387" s="251"/>
      <c r="Q387" s="34"/>
      <c r="R387" s="95"/>
      <c r="S387" s="35"/>
      <c r="T387" s="35"/>
      <c r="U387" s="35"/>
      <c r="V387" s="35"/>
      <c r="W387" s="35"/>
      <c r="X387" s="35"/>
      <c r="Y387" s="35"/>
      <c r="Z387" s="35"/>
      <c r="AA387" s="35"/>
      <c r="AB387" s="35"/>
      <c r="AC387" s="35"/>
      <c r="AD387" s="35"/>
      <c r="AE387" s="35"/>
      <c r="AF387" s="35"/>
      <c r="AG387" s="35"/>
      <c r="AH387" s="35"/>
      <c r="AI387" s="35"/>
      <c r="AJ387" s="35"/>
      <c r="AK387" s="36"/>
      <c r="AL387" s="36"/>
      <c r="AM387" s="36"/>
      <c r="AN387" s="36"/>
      <c r="AO387" s="36"/>
      <c r="AP387" s="36"/>
      <c r="AQ387" s="36"/>
      <c r="AR387" s="36"/>
      <c r="AS387" s="36"/>
      <c r="AT387" s="36"/>
      <c r="AU387" s="36"/>
      <c r="AV387" s="36"/>
      <c r="AW387" s="36"/>
      <c r="AX387" s="36"/>
      <c r="AY387" s="36"/>
      <c r="AZ387" s="36"/>
      <c r="BA387" s="36"/>
      <c r="BB387" s="36"/>
    </row>
    <row r="388" spans="1:54" s="30" customFormat="1" ht="15" x14ac:dyDescent="0.2">
      <c r="C388" s="33"/>
      <c r="D388" s="81"/>
      <c r="G388" s="33"/>
      <c r="H388" s="81"/>
      <c r="K388" s="33"/>
      <c r="L388" s="33"/>
      <c r="M388" s="81"/>
      <c r="N388" s="81"/>
      <c r="O388" s="249"/>
      <c r="Q388" s="34"/>
      <c r="R388" s="95"/>
      <c r="S388" s="35"/>
      <c r="T388" s="35"/>
      <c r="U388" s="35"/>
      <c r="V388" s="35"/>
      <c r="W388" s="35"/>
      <c r="X388" s="35"/>
      <c r="Y388" s="35"/>
      <c r="Z388" s="35"/>
      <c r="AA388" s="35"/>
      <c r="AB388" s="35"/>
      <c r="AC388" s="35"/>
      <c r="AD388" s="35"/>
      <c r="AE388" s="35"/>
      <c r="AF388" s="35"/>
      <c r="AG388" s="35"/>
      <c r="AH388" s="35"/>
      <c r="AI388" s="35"/>
      <c r="AJ388" s="35"/>
      <c r="AK388" s="36"/>
      <c r="AL388" s="36"/>
      <c r="AM388" s="36"/>
      <c r="AN388" s="36"/>
      <c r="AO388" s="36"/>
      <c r="AP388" s="36"/>
      <c r="AQ388" s="36"/>
      <c r="AR388" s="36"/>
      <c r="AS388" s="36"/>
      <c r="AT388" s="36"/>
      <c r="AU388" s="36"/>
      <c r="AV388" s="36"/>
      <c r="AW388" s="36"/>
      <c r="AX388" s="36"/>
      <c r="AY388" s="36"/>
      <c r="AZ388" s="36"/>
      <c r="BA388" s="36"/>
      <c r="BB388" s="36"/>
    </row>
    <row r="389" spans="1:54" s="30" customFormat="1" ht="18" x14ac:dyDescent="0.2">
      <c r="A389" s="289"/>
      <c r="B389" s="286" t="s">
        <v>676</v>
      </c>
      <c r="C389" s="287"/>
      <c r="D389" s="288"/>
      <c r="E389" s="289"/>
      <c r="F389" s="289"/>
      <c r="G389" s="287"/>
      <c r="H389" s="288"/>
      <c r="I389" s="289"/>
      <c r="J389" s="289"/>
      <c r="K389" s="290"/>
      <c r="L389" s="290"/>
      <c r="M389" s="288"/>
      <c r="N389" s="288"/>
      <c r="O389" s="291"/>
      <c r="P389" s="289"/>
      <c r="Q389" s="292"/>
      <c r="R389" s="293" t="str">
        <f>IF(OR(ISNUMBER(#REF!),ISNUMBER(#REF!),ISNUMBER(#REF!),ISNUMBER(#REF!),ISNUMBER(#REF!)),SUM(#REF!,#REF!,#REF!,#REF!,#REF!),"")</f>
        <v/>
      </c>
      <c r="S389" s="294"/>
      <c r="T389" s="294"/>
      <c r="U389" s="294"/>
      <c r="V389" s="294"/>
      <c r="W389" s="294"/>
      <c r="X389" s="294"/>
      <c r="Y389" s="294"/>
      <c r="Z389" s="294"/>
      <c r="AA389" s="294"/>
      <c r="AB389" s="294"/>
      <c r="AC389" s="294"/>
      <c r="AD389" s="294"/>
      <c r="AE389" s="294"/>
      <c r="AF389" s="294"/>
      <c r="AG389" s="294"/>
      <c r="AH389" s="294"/>
      <c r="AI389" s="294"/>
      <c r="AJ389" s="294"/>
      <c r="AK389" s="295"/>
      <c r="AL389" s="295"/>
      <c r="AM389" s="295"/>
      <c r="AN389" s="295"/>
      <c r="AO389" s="295"/>
      <c r="AP389" s="295"/>
      <c r="AQ389" s="295"/>
      <c r="AR389" s="295"/>
      <c r="AS389" s="295"/>
      <c r="AT389" s="295"/>
      <c r="AU389" s="295"/>
      <c r="AV389" s="295"/>
      <c r="AW389" s="295"/>
      <c r="AX389" s="295"/>
      <c r="AY389" s="295"/>
      <c r="AZ389" s="295"/>
      <c r="BA389" s="295"/>
      <c r="BB389" s="295"/>
    </row>
    <row r="390" spans="1:54" s="30" customFormat="1" ht="15.75" x14ac:dyDescent="0.2">
      <c r="B390" s="8"/>
      <c r="C390" s="33"/>
      <c r="D390" s="81"/>
      <c r="E390" s="33"/>
      <c r="F390" s="33"/>
      <c r="G390" s="37"/>
      <c r="H390" s="81"/>
      <c r="J390" s="32"/>
      <c r="K390" s="37"/>
      <c r="L390" s="37"/>
      <c r="M390" s="83"/>
      <c r="N390" s="83"/>
      <c r="O390" s="249" t="s">
        <v>584</v>
      </c>
      <c r="P390" s="37"/>
      <c r="Q390" s="34"/>
      <c r="R390" s="95"/>
      <c r="S390" s="35"/>
      <c r="T390" s="35"/>
      <c r="U390" s="35"/>
      <c r="V390" s="35"/>
      <c r="W390" s="35"/>
      <c r="X390" s="35"/>
      <c r="Y390" s="35"/>
      <c r="Z390" s="35"/>
      <c r="AA390" s="35"/>
      <c r="AB390" s="35"/>
      <c r="AC390" s="35"/>
      <c r="AD390" s="35"/>
      <c r="AE390" s="35"/>
      <c r="AF390" s="35"/>
      <c r="AG390" s="35"/>
      <c r="AH390" s="35"/>
      <c r="AI390" s="35"/>
      <c r="AJ390" s="35"/>
      <c r="AK390" s="36"/>
      <c r="AL390" s="36"/>
      <c r="AM390" s="36"/>
      <c r="AN390" s="36"/>
      <c r="AO390" s="36"/>
      <c r="AP390" s="36"/>
      <c r="AQ390" s="36"/>
      <c r="AR390" s="36"/>
      <c r="AS390" s="36"/>
      <c r="AT390" s="36"/>
      <c r="AU390" s="36"/>
      <c r="AV390" s="36"/>
      <c r="AW390" s="36"/>
      <c r="AX390" s="36"/>
      <c r="AY390" s="36"/>
      <c r="AZ390" s="36"/>
      <c r="BA390" s="36"/>
      <c r="BB390" s="36"/>
    </row>
    <row r="391" spans="1:54" s="30" customFormat="1" ht="15" x14ac:dyDescent="0.2">
      <c r="B391" s="151" t="s">
        <v>0</v>
      </c>
      <c r="C391" s="33" t="s">
        <v>50</v>
      </c>
      <c r="D391" s="81"/>
      <c r="E391" s="33"/>
      <c r="F391" s="33"/>
      <c r="G391" s="37" t="s">
        <v>183</v>
      </c>
      <c r="H391" s="81"/>
      <c r="J391" s="32"/>
      <c r="K391" s="37" t="s">
        <v>297</v>
      </c>
      <c r="L391" s="37" t="s">
        <v>185</v>
      </c>
      <c r="M391" s="83"/>
      <c r="N391" s="83"/>
      <c r="O391" s="250"/>
      <c r="P391" s="37"/>
      <c r="Q391" s="34"/>
      <c r="R391" s="35" t="s">
        <v>318</v>
      </c>
      <c r="S391" s="35"/>
      <c r="T391" s="35" t="s">
        <v>400</v>
      </c>
      <c r="U391" s="35" t="s">
        <v>399</v>
      </c>
      <c r="V391" s="35" t="s">
        <v>397</v>
      </c>
      <c r="W391" s="35" t="s">
        <v>398</v>
      </c>
      <c r="X391" s="35" t="s">
        <v>401</v>
      </c>
      <c r="Y391" s="35" t="s">
        <v>403</v>
      </c>
      <c r="Z391" s="35" t="s">
        <v>402</v>
      </c>
      <c r="AA391" s="35" t="s">
        <v>186</v>
      </c>
      <c r="AB391" s="35" t="s">
        <v>345</v>
      </c>
      <c r="AC391" s="35" t="s">
        <v>404</v>
      </c>
      <c r="AD391" s="35" t="s">
        <v>346</v>
      </c>
      <c r="AE391" s="35" t="s">
        <v>405</v>
      </c>
      <c r="AF391" s="35" t="s">
        <v>406</v>
      </c>
      <c r="AG391" s="35" t="s">
        <v>578</v>
      </c>
      <c r="AH391" s="104"/>
      <c r="AI391" s="35"/>
      <c r="AJ391" s="35"/>
      <c r="AK391" s="36"/>
      <c r="AL391" s="36"/>
      <c r="AM391" s="36"/>
      <c r="AN391" s="36"/>
      <c r="AO391" s="36"/>
      <c r="AP391" s="36"/>
      <c r="AQ391" s="36"/>
      <c r="AR391" s="36"/>
      <c r="AS391" s="36"/>
      <c r="AT391" s="36"/>
      <c r="AU391" s="36"/>
      <c r="AV391" s="36"/>
      <c r="AW391" s="36"/>
      <c r="AX391" s="36"/>
      <c r="AY391" s="36"/>
      <c r="AZ391" s="36"/>
      <c r="BA391" s="36"/>
      <c r="BB391" s="36"/>
    </row>
    <row r="392" spans="1:54" s="30" customFormat="1" ht="30" x14ac:dyDescent="0.2">
      <c r="B392" s="166" t="s">
        <v>501</v>
      </c>
      <c r="C392" s="152"/>
      <c r="D392" s="86" t="s">
        <v>52</v>
      </c>
      <c r="E392" s="57"/>
      <c r="F392" s="55"/>
      <c r="G392" s="360"/>
      <c r="H392" s="81" t="str">
        <f>IF(D392="t","","t/m3")</f>
        <v/>
      </c>
      <c r="J392" s="169" t="s">
        <v>395</v>
      </c>
      <c r="K392" s="92" t="str">
        <f>IFERROR(IF(ISNUMBER(L392),L392,(VLOOKUP(C393,Kalusto!$C$45:$G$84,5,FALSE)*VLOOKUP(C394,Muut!$D$40:$E$43,2,FALSE))),"--")</f>
        <v>--</v>
      </c>
      <c r="L392" s="39"/>
      <c r="M392" s="40" t="s">
        <v>184</v>
      </c>
      <c r="N392" s="40"/>
      <c r="O392" s="250"/>
      <c r="Q392" s="45"/>
      <c r="R392" s="48" t="str">
        <f>IF(AND(NOT(ISNUMBER(AB392)),NOT(ISNUMBER(AG392))),"",IF(ISNUMBER(AB392),AB392,0)+IF(ISNUMBER(AG392),AG392,0))</f>
        <v/>
      </c>
      <c r="S392" s="98" t="s">
        <v>160</v>
      </c>
      <c r="T392" s="46" t="str">
        <f>IFERROR(IF(ISNUMBER(L392),"Kohdetieto",VLOOKUP(C393,Kalusto!$C$45:$L$84,7,FALSE)),"--")</f>
        <v>--</v>
      </c>
      <c r="U392" s="46" t="str">
        <f>IFERROR(IF(ISNUMBER(L392),"Kohdetieto",VLOOKUP(C393,Kalusto!$C$45:$L$84,8,FALSE)),"--")</f>
        <v>--</v>
      </c>
      <c r="V392" s="47" t="str">
        <f>IFERROR(IF(ISNUMBER(L392),"Kohdetieto",VLOOKUP(C393,Kalusto!$C$45:$L$84,9,FALSE)),"--")</f>
        <v>--</v>
      </c>
      <c r="W392" s="47" t="str">
        <f>IFERROR(IF(ISNUMBER(L392),"Kohdetieto",VLOOKUP(C393,Kalusto!$C$45:$L$84,10,FALSE)),"--")</f>
        <v>--</v>
      </c>
      <c r="X392" s="48" t="str">
        <f>IF(ISBLANK(C392),"",IF(D392="t",C392,C392*G392))</f>
        <v/>
      </c>
      <c r="Y392" s="46" t="str">
        <f>IF(ISNUMBER(C395),C395,"")</f>
        <v/>
      </c>
      <c r="Z392" s="48" t="str">
        <f>IF(ISNUMBER(X392/(U392*V392)*Y392),X392/(U392*V392)*Y392,"")</f>
        <v/>
      </c>
      <c r="AA392" s="49" t="str">
        <f>IF(ISNUMBER(L392),L392,K392)</f>
        <v>--</v>
      </c>
      <c r="AB392" s="48" t="str">
        <f>IF(ISNUMBER(Y392*X392*K392),Y392*X392*K392,"")</f>
        <v/>
      </c>
      <c r="AC392" s="48" t="str">
        <f>IF(ISNUMBER(Y392),Y392,"")</f>
        <v/>
      </c>
      <c r="AD392" s="48" t="str">
        <f>IF(ISNUMBER(X392),IF(ISNUMBER(X392/(U392*V392)),CEILING(X392/(U392*V392),1),""),"")</f>
        <v/>
      </c>
      <c r="AE392" s="48" t="str">
        <f>IF(ISNUMBER(AD392*AC392),AD392*AC392,"")</f>
        <v/>
      </c>
      <c r="AF392" s="49" t="str">
        <f>IF(ISNUMBER(L393),L393,K393)</f>
        <v>--</v>
      </c>
      <c r="AG392" s="48" t="str">
        <f>IF(ISNUMBER(AC392*AD392*K393),AC392*AD392*K393,"")</f>
        <v/>
      </c>
      <c r="AH392" s="104"/>
      <c r="AI392" s="35"/>
      <c r="AJ392" s="35"/>
      <c r="AK392" s="36"/>
      <c r="AL392" s="36"/>
      <c r="AM392" s="36"/>
      <c r="AN392" s="36"/>
      <c r="AO392" s="36"/>
      <c r="AP392" s="36"/>
      <c r="AQ392" s="36"/>
      <c r="AR392" s="36"/>
      <c r="AS392" s="36"/>
      <c r="AT392" s="36"/>
      <c r="AU392" s="36"/>
      <c r="AV392" s="36"/>
      <c r="AW392" s="36"/>
      <c r="AX392" s="36"/>
      <c r="AY392" s="36"/>
      <c r="AZ392" s="36"/>
      <c r="BA392" s="36"/>
      <c r="BB392" s="36"/>
    </row>
    <row r="393" spans="1:54" s="30" customFormat="1" ht="30" x14ac:dyDescent="0.2">
      <c r="B393" s="166" t="s">
        <v>499</v>
      </c>
      <c r="C393" s="471" t="s">
        <v>298</v>
      </c>
      <c r="D393" s="472"/>
      <c r="E393" s="472"/>
      <c r="F393" s="472"/>
      <c r="G393" s="473"/>
      <c r="J393" s="32" t="s">
        <v>396</v>
      </c>
      <c r="K393" s="92" t="str">
        <f>IFERROR(IF(ISNUMBER(L393),L393,VLOOKUP(C393,Kalusto!$C$45:$U$84,19,FALSE)*VLOOKUP(C394,Muut!$D$40:$E$43,2,FALSE)),"--")</f>
        <v>--</v>
      </c>
      <c r="L393" s="39"/>
      <c r="M393" s="40" t="s">
        <v>188</v>
      </c>
      <c r="N393" s="40"/>
      <c r="O393" s="250"/>
      <c r="P393" s="33"/>
      <c r="Q393" s="50"/>
      <c r="R393" s="35"/>
      <c r="S393" s="35"/>
      <c r="T393" s="35"/>
      <c r="U393" s="35"/>
      <c r="V393" s="35"/>
      <c r="W393" s="35"/>
      <c r="X393" s="35"/>
      <c r="Y393" s="35"/>
      <c r="Z393" s="35"/>
      <c r="AA393" s="35"/>
      <c r="AB393" s="35"/>
      <c r="AC393" s="35"/>
      <c r="AD393" s="35"/>
      <c r="AE393" s="35"/>
      <c r="AF393" s="35"/>
      <c r="AG393" s="35"/>
      <c r="AH393" s="104"/>
      <c r="AI393" s="35"/>
      <c r="AJ393" s="35"/>
      <c r="AK393" s="36"/>
      <c r="AL393" s="36"/>
      <c r="AM393" s="36"/>
      <c r="AN393" s="36"/>
      <c r="AO393" s="36"/>
      <c r="AP393" s="36"/>
      <c r="AQ393" s="36"/>
      <c r="AR393" s="36"/>
      <c r="AS393" s="36"/>
      <c r="AT393" s="36"/>
      <c r="AU393" s="36"/>
      <c r="AV393" s="36"/>
      <c r="AW393" s="36"/>
      <c r="AX393" s="36"/>
      <c r="AY393" s="36"/>
      <c r="AZ393" s="36"/>
      <c r="BA393" s="36"/>
      <c r="BB393" s="36"/>
    </row>
    <row r="394" spans="1:54" s="30" customFormat="1" ht="15" x14ac:dyDescent="0.2">
      <c r="B394" s="182" t="s">
        <v>457</v>
      </c>
      <c r="C394" s="156" t="s">
        <v>309</v>
      </c>
      <c r="D394" s="33"/>
      <c r="E394" s="33"/>
      <c r="F394" s="33"/>
      <c r="G394" s="33"/>
      <c r="H394" s="57"/>
      <c r="J394" s="169"/>
      <c r="K394" s="169"/>
      <c r="L394" s="169"/>
      <c r="M394" s="40"/>
      <c r="N394" s="40"/>
      <c r="O394" s="250"/>
      <c r="Q394" s="45"/>
      <c r="R394" s="98"/>
      <c r="S394" s="98"/>
      <c r="T394" s="35"/>
      <c r="U394" s="35"/>
      <c r="V394" s="177"/>
      <c r="W394" s="177"/>
      <c r="X394" s="59"/>
      <c r="Y394" s="35"/>
      <c r="Z394" s="59"/>
      <c r="AA394" s="178"/>
      <c r="AB394" s="59"/>
      <c r="AC394" s="59"/>
      <c r="AD394" s="59"/>
      <c r="AE394" s="59"/>
      <c r="AF394" s="178"/>
      <c r="AG394" s="59"/>
      <c r="AH394" s="104"/>
      <c r="AI394" s="35"/>
      <c r="AJ394" s="35"/>
      <c r="AK394" s="36"/>
      <c r="AL394" s="36"/>
      <c r="AM394" s="36"/>
      <c r="AN394" s="36"/>
      <c r="AO394" s="36"/>
      <c r="AP394" s="36"/>
      <c r="AQ394" s="36"/>
      <c r="AR394" s="36"/>
      <c r="AS394" s="36"/>
      <c r="AT394" s="36"/>
      <c r="AU394" s="36"/>
      <c r="AV394" s="36"/>
      <c r="AW394" s="36"/>
      <c r="AX394" s="36"/>
      <c r="AY394" s="36"/>
      <c r="AZ394" s="36"/>
      <c r="BA394" s="36"/>
      <c r="BB394" s="36"/>
    </row>
    <row r="395" spans="1:54" s="30" customFormat="1" ht="15" x14ac:dyDescent="0.2">
      <c r="B395" s="44" t="s">
        <v>498</v>
      </c>
      <c r="C395" s="152"/>
      <c r="D395" s="81" t="s">
        <v>5</v>
      </c>
      <c r="G395" s="33"/>
      <c r="H395" s="52"/>
      <c r="I395" s="51"/>
      <c r="J395" s="51"/>
      <c r="K395" s="33"/>
      <c r="L395" s="33"/>
      <c r="M395" s="81"/>
      <c r="N395" s="81"/>
      <c r="O395" s="251"/>
      <c r="P395" s="51"/>
      <c r="Q395" s="50"/>
      <c r="R395" s="35"/>
      <c r="S395" s="35"/>
      <c r="T395" s="35"/>
      <c r="U395" s="35"/>
      <c r="V395" s="35"/>
      <c r="W395" s="35"/>
      <c r="X395" s="35"/>
      <c r="Y395" s="35"/>
      <c r="Z395" s="35"/>
      <c r="AA395" s="35"/>
      <c r="AB395" s="35"/>
      <c r="AC395" s="35"/>
      <c r="AD395" s="35"/>
      <c r="AE395" s="35"/>
      <c r="AF395" s="35"/>
      <c r="AG395" s="35"/>
      <c r="AH395" s="104"/>
      <c r="AI395" s="35"/>
      <c r="AJ395" s="35"/>
      <c r="AK395" s="36"/>
      <c r="AL395" s="36"/>
      <c r="AM395" s="36"/>
      <c r="AN395" s="36"/>
      <c r="AO395" s="36"/>
      <c r="AP395" s="36"/>
      <c r="AQ395" s="36"/>
      <c r="AR395" s="36"/>
      <c r="AS395" s="36"/>
      <c r="AT395" s="36"/>
      <c r="AU395" s="36"/>
      <c r="AV395" s="36"/>
      <c r="AW395" s="36"/>
      <c r="AX395" s="36"/>
      <c r="AY395" s="36"/>
      <c r="AZ395" s="36"/>
      <c r="BA395" s="36"/>
      <c r="BB395" s="36"/>
    </row>
    <row r="396" spans="1:54" s="30" customFormat="1" ht="15" x14ac:dyDescent="0.2">
      <c r="B396" s="151" t="s">
        <v>1</v>
      </c>
      <c r="C396" s="33"/>
      <c r="D396" s="81"/>
      <c r="E396" s="33"/>
      <c r="F396" s="33"/>
      <c r="G396" s="37"/>
      <c r="H396" s="81"/>
      <c r="J396" s="32"/>
      <c r="K396" s="37" t="s">
        <v>297</v>
      </c>
      <c r="L396" s="37" t="s">
        <v>185</v>
      </c>
      <c r="M396" s="81"/>
      <c r="N396" s="81"/>
      <c r="O396" s="251"/>
      <c r="P396" s="33"/>
      <c r="Q396" s="34"/>
      <c r="R396" s="35" t="s">
        <v>318</v>
      </c>
      <c r="S396" s="35"/>
      <c r="T396" s="35" t="s">
        <v>400</v>
      </c>
      <c r="U396" s="35" t="s">
        <v>399</v>
      </c>
      <c r="V396" s="35" t="s">
        <v>397</v>
      </c>
      <c r="W396" s="35" t="s">
        <v>398</v>
      </c>
      <c r="X396" s="35" t="s">
        <v>401</v>
      </c>
      <c r="Y396" s="35" t="s">
        <v>403</v>
      </c>
      <c r="Z396" s="35" t="s">
        <v>402</v>
      </c>
      <c r="AA396" s="35" t="s">
        <v>186</v>
      </c>
      <c r="AB396" s="35" t="s">
        <v>345</v>
      </c>
      <c r="AC396" s="35" t="s">
        <v>404</v>
      </c>
      <c r="AD396" s="35" t="s">
        <v>346</v>
      </c>
      <c r="AE396" s="35" t="s">
        <v>405</v>
      </c>
      <c r="AF396" s="35" t="s">
        <v>406</v>
      </c>
      <c r="AG396" s="35" t="s">
        <v>578</v>
      </c>
      <c r="AH396" s="104"/>
      <c r="AI396" s="35"/>
      <c r="AJ396" s="35"/>
      <c r="AK396" s="36"/>
      <c r="AL396" s="36"/>
      <c r="AM396" s="36"/>
      <c r="AN396" s="36"/>
      <c r="AO396" s="36"/>
      <c r="AP396" s="36"/>
      <c r="AQ396" s="36"/>
      <c r="AR396" s="36"/>
      <c r="AS396" s="36"/>
      <c r="AT396" s="36"/>
      <c r="AU396" s="36"/>
      <c r="AV396" s="36"/>
      <c r="AW396" s="36"/>
      <c r="AX396" s="36"/>
      <c r="AY396" s="36"/>
      <c r="AZ396" s="36"/>
      <c r="BA396" s="36"/>
      <c r="BB396" s="36"/>
    </row>
    <row r="397" spans="1:54" s="30" customFormat="1" ht="30" x14ac:dyDescent="0.2">
      <c r="B397" s="166" t="s">
        <v>501</v>
      </c>
      <c r="C397" s="152"/>
      <c r="D397" s="86" t="s">
        <v>52</v>
      </c>
      <c r="E397" s="57"/>
      <c r="F397" s="55"/>
      <c r="G397" s="360"/>
      <c r="H397" s="81" t="str">
        <f>IF(D397="t","","t/m3")</f>
        <v/>
      </c>
      <c r="J397" s="169" t="s">
        <v>395</v>
      </c>
      <c r="K397" s="92" t="str">
        <f>IFERROR(IF(ISNUMBER(L397),L397,(VLOOKUP(C398,Kalusto!$C$45:$G$84,5,FALSE)*VLOOKUP(C399,Muut!$D$40:$E$43,2,FALSE))),"--")</f>
        <v>--</v>
      </c>
      <c r="L397" s="39"/>
      <c r="M397" s="40" t="s">
        <v>184</v>
      </c>
      <c r="N397" s="40"/>
      <c r="O397" s="250"/>
      <c r="Q397" s="45"/>
      <c r="R397" s="48" t="str">
        <f>IF(AND(NOT(ISNUMBER(AB397)),NOT(ISNUMBER(AG397))),"",IF(ISNUMBER(AB397),AB397,0)+IF(ISNUMBER(AG397),AG397,0))</f>
        <v/>
      </c>
      <c r="S397" s="98" t="s">
        <v>160</v>
      </c>
      <c r="T397" s="46" t="str">
        <f>IFERROR(IF(ISNUMBER(L397),"Kohdetieto",VLOOKUP(C398,Kalusto!$C$45:$L$84,7,FALSE)),"--")</f>
        <v>--</v>
      </c>
      <c r="U397" s="46" t="str">
        <f>IFERROR(IF(ISNUMBER(L397),"Kohdetieto",VLOOKUP(C398,Kalusto!$C$45:$L$84,8,FALSE)),"--")</f>
        <v>--</v>
      </c>
      <c r="V397" s="47" t="str">
        <f>IFERROR(IF(ISNUMBER(L397),"Kohdetieto",VLOOKUP(C398,Kalusto!$C$45:$L$84,9,FALSE)),"--")</f>
        <v>--</v>
      </c>
      <c r="W397" s="47" t="str">
        <f>IFERROR(IF(ISNUMBER(L397),"Kohdetieto",VLOOKUP(C398,Kalusto!$C$45:$L$84,10,FALSE)),"--")</f>
        <v>--</v>
      </c>
      <c r="X397" s="48" t="str">
        <f>IF(ISBLANK(C397),"",IF(D397="t",C397,C397*G397))</f>
        <v/>
      </c>
      <c r="Y397" s="46" t="str">
        <f>IF(ISNUMBER(C400),C400,"")</f>
        <v/>
      </c>
      <c r="Z397" s="48" t="str">
        <f>IF(ISNUMBER(X397/(U397*V397)*Y397),X397/(U397*V397)*Y397,"")</f>
        <v/>
      </c>
      <c r="AA397" s="49" t="str">
        <f>IF(ISNUMBER(L397),L397,K397)</f>
        <v>--</v>
      </c>
      <c r="AB397" s="48" t="str">
        <f>IF(ISNUMBER(Y397*X397*K397),Y397*X397*K397,"")</f>
        <v/>
      </c>
      <c r="AC397" s="48" t="str">
        <f>IF(ISNUMBER(Y397),Y397,"")</f>
        <v/>
      </c>
      <c r="AD397" s="48" t="str">
        <f>IF(ISNUMBER(X397),IF(ISNUMBER(X397/(U397*V397)),CEILING(X397/(U397*V397),1),""),"")</f>
        <v/>
      </c>
      <c r="AE397" s="48" t="str">
        <f>IF(ISNUMBER(AD397*AC397),AD397*AC397,"")</f>
        <v/>
      </c>
      <c r="AF397" s="49" t="str">
        <f>IF(ISNUMBER(L398),L398,K398)</f>
        <v>--</v>
      </c>
      <c r="AG397" s="48" t="str">
        <f>IF(ISNUMBER(AC397*AD397*K398),AC397*AD397*K398,"")</f>
        <v/>
      </c>
      <c r="AH397" s="104"/>
      <c r="AI397" s="35"/>
      <c r="AJ397" s="35"/>
      <c r="AK397" s="36"/>
      <c r="AL397" s="36"/>
      <c r="AM397" s="36"/>
      <c r="AN397" s="36"/>
      <c r="AO397" s="36"/>
      <c r="AP397" s="36"/>
      <c r="AQ397" s="36"/>
      <c r="AR397" s="36"/>
      <c r="AS397" s="36"/>
      <c r="AT397" s="36"/>
      <c r="AU397" s="36"/>
      <c r="AV397" s="36"/>
      <c r="AW397" s="36"/>
      <c r="AX397" s="36"/>
      <c r="AY397" s="36"/>
      <c r="AZ397" s="36"/>
      <c r="BA397" s="36"/>
      <c r="BB397" s="36"/>
    </row>
    <row r="398" spans="1:54" s="30" customFormat="1" ht="30" x14ac:dyDescent="0.2">
      <c r="B398" s="166" t="s">
        <v>499</v>
      </c>
      <c r="C398" s="471" t="s">
        <v>298</v>
      </c>
      <c r="D398" s="472"/>
      <c r="E398" s="472"/>
      <c r="F398" s="472"/>
      <c r="G398" s="473"/>
      <c r="H398" s="30" t="s">
        <v>187</v>
      </c>
      <c r="J398" s="32" t="s">
        <v>396</v>
      </c>
      <c r="K398" s="92" t="str">
        <f>IFERROR(IF(ISNUMBER(L398),L398,VLOOKUP(C398,Kalusto!$C$45:$U$84,19,FALSE)*VLOOKUP(C399,Muut!$D$40:$E$43,2,FALSE)),"--")</f>
        <v>--</v>
      </c>
      <c r="L398" s="39"/>
      <c r="M398" s="40" t="s">
        <v>188</v>
      </c>
      <c r="N398" s="40"/>
      <c r="O398" s="250"/>
      <c r="P398" s="33"/>
      <c r="Q398" s="50"/>
      <c r="R398" s="35"/>
      <c r="S398" s="35"/>
      <c r="T398" s="35"/>
      <c r="U398" s="35"/>
      <c r="V398" s="35"/>
      <c r="W398" s="35"/>
      <c r="X398" s="35"/>
      <c r="Y398" s="35"/>
      <c r="Z398" s="35"/>
      <c r="AA398" s="35"/>
      <c r="AB398" s="35"/>
      <c r="AC398" s="35"/>
      <c r="AD398" s="35"/>
      <c r="AE398" s="35"/>
      <c r="AF398" s="35"/>
      <c r="AG398" s="35"/>
      <c r="AH398" s="104"/>
      <c r="AI398" s="35"/>
      <c r="AJ398" s="35"/>
      <c r="AK398" s="36"/>
      <c r="AL398" s="36"/>
      <c r="AM398" s="36"/>
      <c r="AN398" s="36"/>
      <c r="AO398" s="36"/>
      <c r="AP398" s="36"/>
      <c r="AQ398" s="36"/>
      <c r="AR398" s="36"/>
      <c r="AS398" s="36"/>
      <c r="AT398" s="36"/>
      <c r="AU398" s="36"/>
      <c r="AV398" s="36"/>
      <c r="AW398" s="36"/>
      <c r="AX398" s="36"/>
      <c r="AY398" s="36"/>
      <c r="AZ398" s="36"/>
      <c r="BA398" s="36"/>
      <c r="BB398" s="36"/>
    </row>
    <row r="399" spans="1:54" s="30" customFormat="1" ht="15" x14ac:dyDescent="0.2">
      <c r="B399" s="182" t="s">
        <v>457</v>
      </c>
      <c r="C399" s="156" t="s">
        <v>309</v>
      </c>
      <c r="D399" s="33"/>
      <c r="E399" s="33"/>
      <c r="F399" s="33"/>
      <c r="G399" s="33"/>
      <c r="H399" s="57"/>
      <c r="J399" s="169"/>
      <c r="K399" s="169"/>
      <c r="L399" s="169"/>
      <c r="M399" s="40"/>
      <c r="N399" s="40"/>
      <c r="O399" s="250"/>
      <c r="Q399" s="45"/>
      <c r="R399" s="98"/>
      <c r="S399" s="98"/>
      <c r="T399" s="35"/>
      <c r="U399" s="35"/>
      <c r="V399" s="177"/>
      <c r="W399" s="177"/>
      <c r="X399" s="59"/>
      <c r="Y399" s="35"/>
      <c r="Z399" s="59"/>
      <c r="AA399" s="178"/>
      <c r="AB399" s="59"/>
      <c r="AC399" s="59"/>
      <c r="AD399" s="59"/>
      <c r="AE399" s="59"/>
      <c r="AF399" s="178"/>
      <c r="AG399" s="59"/>
      <c r="AH399" s="104"/>
      <c r="AI399" s="35"/>
      <c r="AJ399" s="35"/>
      <c r="AK399" s="36"/>
      <c r="AL399" s="36"/>
      <c r="AM399" s="36"/>
      <c r="AN399" s="36"/>
      <c r="AO399" s="36"/>
      <c r="AP399" s="36"/>
      <c r="AQ399" s="36"/>
      <c r="AR399" s="36"/>
      <c r="AS399" s="36"/>
      <c r="AT399" s="36"/>
      <c r="AU399" s="36"/>
      <c r="AV399" s="36"/>
      <c r="AW399" s="36"/>
      <c r="AX399" s="36"/>
      <c r="AY399" s="36"/>
      <c r="AZ399" s="36"/>
      <c r="BA399" s="36"/>
      <c r="BB399" s="36"/>
    </row>
    <row r="400" spans="1:54" s="30" customFormat="1" ht="15" x14ac:dyDescent="0.2">
      <c r="B400" s="44" t="s">
        <v>498</v>
      </c>
      <c r="C400" s="152"/>
      <c r="D400" s="81" t="s">
        <v>5</v>
      </c>
      <c r="G400" s="33"/>
      <c r="H400" s="52"/>
      <c r="I400" s="51"/>
      <c r="J400" s="51"/>
      <c r="K400" s="33"/>
      <c r="L400" s="33"/>
      <c r="M400" s="81"/>
      <c r="N400" s="81"/>
      <c r="O400" s="251"/>
      <c r="P400" s="51"/>
      <c r="Q400" s="50"/>
      <c r="R400" s="35"/>
      <c r="S400" s="35"/>
      <c r="T400" s="35"/>
      <c r="U400" s="35"/>
      <c r="V400" s="35"/>
      <c r="W400" s="35"/>
      <c r="X400" s="35"/>
      <c r="Y400" s="35"/>
      <c r="Z400" s="35"/>
      <c r="AA400" s="35"/>
      <c r="AB400" s="35"/>
      <c r="AC400" s="35"/>
      <c r="AD400" s="35"/>
      <c r="AE400" s="35"/>
      <c r="AF400" s="35"/>
      <c r="AG400" s="35"/>
      <c r="AH400" s="104"/>
      <c r="AI400" s="35"/>
      <c r="AJ400" s="35"/>
      <c r="AK400" s="36"/>
      <c r="AL400" s="36"/>
      <c r="AM400" s="36"/>
      <c r="AN400" s="36"/>
      <c r="AO400" s="36"/>
      <c r="AP400" s="36"/>
      <c r="AQ400" s="36"/>
      <c r="AR400" s="36"/>
      <c r="AS400" s="36"/>
      <c r="AT400" s="36"/>
      <c r="AU400" s="36"/>
      <c r="AV400" s="36"/>
      <c r="AW400" s="36"/>
      <c r="AX400" s="36"/>
      <c r="AY400" s="36"/>
      <c r="AZ400" s="36"/>
      <c r="BA400" s="36"/>
      <c r="BB400" s="36"/>
    </row>
    <row r="401" spans="2:54" s="30" customFormat="1" ht="15" x14ac:dyDescent="0.2">
      <c r="B401" s="151" t="s">
        <v>2</v>
      </c>
      <c r="C401" s="33"/>
      <c r="D401" s="81"/>
      <c r="E401" s="33"/>
      <c r="F401" s="33"/>
      <c r="G401" s="37"/>
      <c r="H401" s="81"/>
      <c r="J401" s="32"/>
      <c r="K401" s="37" t="s">
        <v>297</v>
      </c>
      <c r="L401" s="37" t="s">
        <v>185</v>
      </c>
      <c r="M401" s="81"/>
      <c r="N401" s="81"/>
      <c r="O401" s="251"/>
      <c r="P401" s="33"/>
      <c r="Q401" s="34"/>
      <c r="R401" s="35" t="s">
        <v>318</v>
      </c>
      <c r="S401" s="35"/>
      <c r="T401" s="35" t="s">
        <v>400</v>
      </c>
      <c r="U401" s="35" t="s">
        <v>399</v>
      </c>
      <c r="V401" s="35" t="s">
        <v>397</v>
      </c>
      <c r="W401" s="35" t="s">
        <v>398</v>
      </c>
      <c r="X401" s="35" t="s">
        <v>401</v>
      </c>
      <c r="Y401" s="35" t="s">
        <v>403</v>
      </c>
      <c r="Z401" s="35" t="s">
        <v>402</v>
      </c>
      <c r="AA401" s="35" t="s">
        <v>186</v>
      </c>
      <c r="AB401" s="35" t="s">
        <v>345</v>
      </c>
      <c r="AC401" s="35" t="s">
        <v>404</v>
      </c>
      <c r="AD401" s="35" t="s">
        <v>346</v>
      </c>
      <c r="AE401" s="35" t="s">
        <v>405</v>
      </c>
      <c r="AF401" s="35" t="s">
        <v>406</v>
      </c>
      <c r="AG401" s="35" t="s">
        <v>578</v>
      </c>
      <c r="AH401" s="104"/>
      <c r="AI401" s="35"/>
      <c r="AJ401" s="35"/>
      <c r="AK401" s="36"/>
      <c r="AL401" s="36"/>
      <c r="AM401" s="36"/>
      <c r="AN401" s="36"/>
      <c r="AO401" s="36"/>
      <c r="AP401" s="36"/>
      <c r="AQ401" s="36"/>
      <c r="AR401" s="36"/>
      <c r="AS401" s="36"/>
      <c r="AT401" s="36"/>
      <c r="AU401" s="36"/>
      <c r="AV401" s="36"/>
      <c r="AW401" s="36"/>
      <c r="AX401" s="36"/>
      <c r="AY401" s="36"/>
      <c r="AZ401" s="36"/>
      <c r="BA401" s="36"/>
      <c r="BB401" s="36"/>
    </row>
    <row r="402" spans="2:54" s="30" customFormat="1" ht="30" x14ac:dyDescent="0.2">
      <c r="B402" s="166" t="s">
        <v>501</v>
      </c>
      <c r="C402" s="152"/>
      <c r="D402" s="86" t="s">
        <v>52</v>
      </c>
      <c r="E402" s="57"/>
      <c r="F402" s="55"/>
      <c r="G402" s="360"/>
      <c r="H402" s="81" t="str">
        <f>IF(D402="t","","t/m3")</f>
        <v/>
      </c>
      <c r="J402" s="169" t="s">
        <v>395</v>
      </c>
      <c r="K402" s="92" t="str">
        <f>IFERROR(IF(ISNUMBER(L402),L402,(VLOOKUP(C403,Kalusto!$C$45:$G$84,5,FALSE)*VLOOKUP(C404,Muut!$D$40:$E$43,2,FALSE))),"--")</f>
        <v>--</v>
      </c>
      <c r="L402" s="39"/>
      <c r="M402" s="40" t="s">
        <v>184</v>
      </c>
      <c r="N402" s="40"/>
      <c r="O402" s="250"/>
      <c r="Q402" s="45"/>
      <c r="R402" s="48" t="str">
        <f>IF(AND(NOT(ISNUMBER(AB402)),NOT(ISNUMBER(AG402))),"",IF(ISNUMBER(AB402),AB402,0)+IF(ISNUMBER(AG402),AG402,0))</f>
        <v/>
      </c>
      <c r="S402" s="98" t="s">
        <v>160</v>
      </c>
      <c r="T402" s="46" t="str">
        <f>IFERROR(IF(ISNUMBER(L402),"Kohdetieto",VLOOKUP(C403,Kalusto!$C$45:$L$84,7,FALSE)),"--")</f>
        <v>--</v>
      </c>
      <c r="U402" s="46" t="str">
        <f>IFERROR(IF(ISNUMBER(L402),"Kohdetieto",VLOOKUP(C403,Kalusto!$C$45:$L$84,8,FALSE)),"--")</f>
        <v>--</v>
      </c>
      <c r="V402" s="47" t="str">
        <f>IFERROR(IF(ISNUMBER(L402),"Kohdetieto",VLOOKUP(C403,Kalusto!$C$45:$L$84,9,FALSE)),"--")</f>
        <v>--</v>
      </c>
      <c r="W402" s="47" t="str">
        <f>IFERROR(IF(ISNUMBER(L402),"Kohdetieto",VLOOKUP(C403,Kalusto!$C$45:$L$84,10,FALSE)),"--")</f>
        <v>--</v>
      </c>
      <c r="X402" s="48" t="str">
        <f>IF(ISBLANK(C402),"",IF(D402="t",C402,C402*G402))</f>
        <v/>
      </c>
      <c r="Y402" s="46" t="str">
        <f>IF(ISNUMBER(C405),C405,"")</f>
        <v/>
      </c>
      <c r="Z402" s="48" t="str">
        <f>IF(ISNUMBER(X402/(U402*V402)*Y402),X402/(U402*V402)*Y402,"")</f>
        <v/>
      </c>
      <c r="AA402" s="49" t="str">
        <f>IF(ISNUMBER(L402),L402,K402)</f>
        <v>--</v>
      </c>
      <c r="AB402" s="48" t="str">
        <f>IF(ISNUMBER(Y402*X402*K402),Y402*X402*K402,"")</f>
        <v/>
      </c>
      <c r="AC402" s="48" t="str">
        <f>IF(ISNUMBER(Y402),Y402,"")</f>
        <v/>
      </c>
      <c r="AD402" s="48" t="str">
        <f>IF(ISNUMBER(X402),IF(ISNUMBER(X402/(U402*V402)),CEILING(X402/(U402*V402),1),""),"")</f>
        <v/>
      </c>
      <c r="AE402" s="48" t="str">
        <f>IF(ISNUMBER(AD402*AC402),AD402*AC402,"")</f>
        <v/>
      </c>
      <c r="AF402" s="49" t="str">
        <f>IF(ISNUMBER(L403),L403,K403)</f>
        <v>--</v>
      </c>
      <c r="AG402" s="48" t="str">
        <f>IF(ISNUMBER(AC402*AD402*K403),AC402*AD402*K403,"")</f>
        <v/>
      </c>
      <c r="AH402" s="104"/>
      <c r="AI402" s="35"/>
      <c r="AJ402" s="35"/>
      <c r="AK402" s="36"/>
      <c r="AL402" s="36"/>
      <c r="AM402" s="36"/>
      <c r="AN402" s="36"/>
      <c r="AO402" s="36"/>
      <c r="AP402" s="36"/>
      <c r="AQ402" s="36"/>
      <c r="AR402" s="36"/>
      <c r="AS402" s="36"/>
      <c r="AT402" s="36"/>
      <c r="AU402" s="36"/>
      <c r="AV402" s="36"/>
      <c r="AW402" s="36"/>
      <c r="AX402" s="36"/>
      <c r="AY402" s="36"/>
      <c r="AZ402" s="36"/>
      <c r="BA402" s="36"/>
      <c r="BB402" s="36"/>
    </row>
    <row r="403" spans="2:54" s="30" customFormat="1" ht="30" x14ac:dyDescent="0.2">
      <c r="B403" s="166" t="s">
        <v>499</v>
      </c>
      <c r="C403" s="471" t="s">
        <v>298</v>
      </c>
      <c r="D403" s="472"/>
      <c r="E403" s="472"/>
      <c r="F403" s="472"/>
      <c r="G403" s="473"/>
      <c r="J403" s="32" t="s">
        <v>396</v>
      </c>
      <c r="K403" s="92" t="str">
        <f>IFERROR(IF(ISNUMBER(L403),L403,VLOOKUP(C403,Kalusto!$C$45:$U$84,19,FALSE)*VLOOKUP(C404,Muut!$D$40:$E$43,2,FALSE)),"--")</f>
        <v>--</v>
      </c>
      <c r="L403" s="39"/>
      <c r="M403" s="40" t="s">
        <v>188</v>
      </c>
      <c r="N403" s="40"/>
      <c r="O403" s="250"/>
      <c r="P403" s="33"/>
      <c r="Q403" s="50"/>
      <c r="R403" s="35"/>
      <c r="S403" s="35"/>
      <c r="T403" s="35"/>
      <c r="U403" s="35"/>
      <c r="V403" s="35"/>
      <c r="W403" s="35"/>
      <c r="X403" s="35"/>
      <c r="Y403" s="35"/>
      <c r="Z403" s="35"/>
      <c r="AA403" s="35"/>
      <c r="AB403" s="35"/>
      <c r="AC403" s="35"/>
      <c r="AD403" s="35"/>
      <c r="AE403" s="35"/>
      <c r="AF403" s="35"/>
      <c r="AG403" s="35"/>
      <c r="AH403" s="104"/>
      <c r="AI403" s="35"/>
      <c r="AJ403" s="35"/>
      <c r="AK403" s="36"/>
      <c r="AL403" s="36"/>
      <c r="AM403" s="36"/>
      <c r="AN403" s="36"/>
      <c r="AO403" s="36"/>
      <c r="AP403" s="36"/>
      <c r="AQ403" s="36"/>
      <c r="AR403" s="36"/>
      <c r="AS403" s="36"/>
      <c r="AT403" s="36"/>
      <c r="AU403" s="36"/>
      <c r="AV403" s="36"/>
      <c r="AW403" s="36"/>
      <c r="AX403" s="36"/>
      <c r="AY403" s="36"/>
      <c r="AZ403" s="36"/>
      <c r="BA403" s="36"/>
      <c r="BB403" s="36"/>
    </row>
    <row r="404" spans="2:54" s="30" customFormat="1" ht="15" x14ac:dyDescent="0.2">
      <c r="B404" s="182" t="s">
        <v>457</v>
      </c>
      <c r="C404" s="156" t="s">
        <v>309</v>
      </c>
      <c r="D404" s="33"/>
      <c r="E404" s="33"/>
      <c r="F404" s="33"/>
      <c r="G404" s="33"/>
      <c r="H404" s="57"/>
      <c r="J404" s="169"/>
      <c r="K404" s="169"/>
      <c r="L404" s="169"/>
      <c r="M404" s="40"/>
      <c r="N404" s="40"/>
      <c r="O404" s="250"/>
      <c r="Q404" s="45"/>
      <c r="R404" s="98"/>
      <c r="S404" s="98"/>
      <c r="T404" s="35"/>
      <c r="U404" s="35"/>
      <c r="V404" s="177"/>
      <c r="W404" s="177"/>
      <c r="X404" s="59"/>
      <c r="Y404" s="35"/>
      <c r="Z404" s="59"/>
      <c r="AA404" s="178"/>
      <c r="AB404" s="59"/>
      <c r="AC404" s="59"/>
      <c r="AD404" s="59"/>
      <c r="AE404" s="59"/>
      <c r="AF404" s="178"/>
      <c r="AG404" s="59"/>
      <c r="AH404" s="104"/>
      <c r="AI404" s="35"/>
      <c r="AJ404" s="35"/>
      <c r="AK404" s="36"/>
      <c r="AL404" s="36"/>
      <c r="AM404" s="36"/>
      <c r="AN404" s="36"/>
      <c r="AO404" s="36"/>
      <c r="AP404" s="36"/>
      <c r="AQ404" s="36"/>
      <c r="AR404" s="36"/>
      <c r="AS404" s="36"/>
      <c r="AT404" s="36"/>
      <c r="AU404" s="36"/>
      <c r="AV404" s="36"/>
      <c r="AW404" s="36"/>
      <c r="AX404" s="36"/>
      <c r="AY404" s="36"/>
      <c r="AZ404" s="36"/>
      <c r="BA404" s="36"/>
      <c r="BB404" s="36"/>
    </row>
    <row r="405" spans="2:54" s="30" customFormat="1" ht="15" x14ac:dyDescent="0.2">
      <c r="B405" s="44" t="s">
        <v>498</v>
      </c>
      <c r="C405" s="152"/>
      <c r="D405" s="81" t="s">
        <v>5</v>
      </c>
      <c r="G405" s="33"/>
      <c r="H405" s="81"/>
      <c r="I405" s="51"/>
      <c r="J405" s="51"/>
      <c r="K405" s="33"/>
      <c r="L405" s="33"/>
      <c r="M405" s="81"/>
      <c r="N405" s="81"/>
      <c r="O405" s="251"/>
      <c r="P405" s="51"/>
      <c r="Q405" s="50"/>
      <c r="R405" s="35"/>
      <c r="S405" s="35"/>
      <c r="T405" s="35"/>
      <c r="U405" s="35"/>
      <c r="V405" s="35"/>
      <c r="W405" s="35"/>
      <c r="X405" s="35"/>
      <c r="Y405" s="35"/>
      <c r="Z405" s="35"/>
      <c r="AA405" s="35"/>
      <c r="AB405" s="35"/>
      <c r="AC405" s="35"/>
      <c r="AD405" s="35"/>
      <c r="AE405" s="35"/>
      <c r="AF405" s="35"/>
      <c r="AG405" s="35"/>
      <c r="AH405" s="104"/>
      <c r="AI405" s="35"/>
      <c r="AJ405" s="35"/>
      <c r="AK405" s="36"/>
      <c r="AL405" s="36"/>
      <c r="AM405" s="36"/>
      <c r="AN405" s="36"/>
      <c r="AO405" s="36"/>
      <c r="AP405" s="36"/>
      <c r="AQ405" s="36"/>
      <c r="AR405" s="36"/>
      <c r="AS405" s="36"/>
      <c r="AT405" s="36"/>
      <c r="AU405" s="36"/>
      <c r="AV405" s="36"/>
      <c r="AW405" s="36"/>
      <c r="AX405" s="36"/>
      <c r="AY405" s="36"/>
      <c r="AZ405" s="36"/>
      <c r="BA405" s="36"/>
      <c r="BB405" s="36"/>
    </row>
    <row r="406" spans="2:54" s="30" customFormat="1" ht="15" x14ac:dyDescent="0.2">
      <c r="B406" s="151" t="s">
        <v>3</v>
      </c>
      <c r="C406" s="33"/>
      <c r="D406" s="81"/>
      <c r="E406" s="33"/>
      <c r="F406" s="33"/>
      <c r="G406" s="37"/>
      <c r="H406" s="81"/>
      <c r="J406" s="32"/>
      <c r="K406" s="37" t="s">
        <v>297</v>
      </c>
      <c r="L406" s="37" t="s">
        <v>185</v>
      </c>
      <c r="M406" s="81"/>
      <c r="N406" s="81"/>
      <c r="O406" s="251"/>
      <c r="P406" s="33"/>
      <c r="Q406" s="34"/>
      <c r="R406" s="35" t="s">
        <v>318</v>
      </c>
      <c r="S406" s="35"/>
      <c r="T406" s="35" t="s">
        <v>400</v>
      </c>
      <c r="U406" s="35" t="s">
        <v>399</v>
      </c>
      <c r="V406" s="35" t="s">
        <v>397</v>
      </c>
      <c r="W406" s="35" t="s">
        <v>398</v>
      </c>
      <c r="X406" s="35" t="s">
        <v>401</v>
      </c>
      <c r="Y406" s="35" t="s">
        <v>403</v>
      </c>
      <c r="Z406" s="35" t="s">
        <v>402</v>
      </c>
      <c r="AA406" s="35" t="s">
        <v>186</v>
      </c>
      <c r="AB406" s="35" t="s">
        <v>345</v>
      </c>
      <c r="AC406" s="35" t="s">
        <v>404</v>
      </c>
      <c r="AD406" s="35" t="s">
        <v>346</v>
      </c>
      <c r="AE406" s="35" t="s">
        <v>405</v>
      </c>
      <c r="AF406" s="35" t="s">
        <v>406</v>
      </c>
      <c r="AG406" s="35" t="s">
        <v>578</v>
      </c>
      <c r="AH406" s="104"/>
      <c r="AI406" s="35"/>
      <c r="AJ406" s="35"/>
      <c r="AK406" s="36"/>
      <c r="AL406" s="36"/>
      <c r="AM406" s="36"/>
      <c r="AN406" s="36"/>
      <c r="AO406" s="36"/>
      <c r="AP406" s="36"/>
      <c r="AQ406" s="36"/>
      <c r="AR406" s="36"/>
      <c r="AS406" s="36"/>
      <c r="AT406" s="36"/>
      <c r="AU406" s="36"/>
      <c r="AV406" s="36"/>
      <c r="AW406" s="36"/>
      <c r="AX406" s="36"/>
      <c r="AY406" s="36"/>
      <c r="AZ406" s="36"/>
      <c r="BA406" s="36"/>
      <c r="BB406" s="36"/>
    </row>
    <row r="407" spans="2:54" s="30" customFormat="1" ht="30" x14ac:dyDescent="0.2">
      <c r="B407" s="166" t="s">
        <v>501</v>
      </c>
      <c r="C407" s="152"/>
      <c r="D407" s="86" t="s">
        <v>52</v>
      </c>
      <c r="E407" s="57"/>
      <c r="F407" s="55"/>
      <c r="G407" s="360"/>
      <c r="H407" s="81" t="str">
        <f>IF(D407="t","","t/m3")</f>
        <v/>
      </c>
      <c r="J407" s="169" t="s">
        <v>395</v>
      </c>
      <c r="K407" s="92" t="str">
        <f>IFERROR(IF(ISNUMBER(L407),L407,(VLOOKUP(C408,Kalusto!$C$45:$G$84,5,FALSE)*VLOOKUP(C409,Muut!$D$40:$E$43,2,FALSE))),"--")</f>
        <v>--</v>
      </c>
      <c r="L407" s="39"/>
      <c r="M407" s="40" t="s">
        <v>184</v>
      </c>
      <c r="N407" s="40"/>
      <c r="O407" s="250"/>
      <c r="Q407" s="45"/>
      <c r="R407" s="48" t="str">
        <f>IF(AND(NOT(ISNUMBER(AB407)),NOT(ISNUMBER(AG407))),"",IF(ISNUMBER(AB407),AB407,0)+IF(ISNUMBER(AG407),AG407,0))</f>
        <v/>
      </c>
      <c r="S407" s="98" t="s">
        <v>160</v>
      </c>
      <c r="T407" s="46" t="str">
        <f>IFERROR(IF(ISNUMBER(L407),"Kohdetieto",VLOOKUP(C408,Kalusto!$C$45:$L$84,7,FALSE)),"--")</f>
        <v>--</v>
      </c>
      <c r="U407" s="46" t="str">
        <f>IFERROR(IF(ISNUMBER(L407),"Kohdetieto",VLOOKUP(C408,Kalusto!$C$45:$L$84,8,FALSE)),"--")</f>
        <v>--</v>
      </c>
      <c r="V407" s="47" t="str">
        <f>IFERROR(IF(ISNUMBER(L407),"Kohdetieto",VLOOKUP(C408,Kalusto!$C$45:$L$84,9,FALSE)),"--")</f>
        <v>--</v>
      </c>
      <c r="W407" s="47" t="str">
        <f>IFERROR(IF(ISNUMBER(L407),"Kohdetieto",VLOOKUP(C408,Kalusto!$C$45:$L$84,10,FALSE)),"--")</f>
        <v>--</v>
      </c>
      <c r="X407" s="48" t="str">
        <f>IF(ISBLANK(C407),"",IF(D407="t",C407,C407*G407))</f>
        <v/>
      </c>
      <c r="Y407" s="46" t="str">
        <f>IF(ISNUMBER(C410),C410,"")</f>
        <v/>
      </c>
      <c r="Z407" s="48" t="str">
        <f>IF(ISNUMBER(X407/(U407*V407)*Y407),X407/(U407*V407)*Y407,"")</f>
        <v/>
      </c>
      <c r="AA407" s="49" t="str">
        <f>IF(ISNUMBER(L407),L407,K407)</f>
        <v>--</v>
      </c>
      <c r="AB407" s="48" t="str">
        <f>IF(ISNUMBER(Y407*X407*K407),Y407*X407*K407,"")</f>
        <v/>
      </c>
      <c r="AC407" s="48" t="str">
        <f>IF(ISNUMBER(Y407),Y407,"")</f>
        <v/>
      </c>
      <c r="AD407" s="48" t="str">
        <f>IF(ISNUMBER(X407),IF(ISNUMBER(X407/(U407*V407)),CEILING(X407/(U407*V407),1),""),"")</f>
        <v/>
      </c>
      <c r="AE407" s="48" t="str">
        <f>IF(ISNUMBER(AD407*AC407),AD407*AC407,"")</f>
        <v/>
      </c>
      <c r="AF407" s="49" t="str">
        <f>IF(ISNUMBER(L408),L408,K408)</f>
        <v>--</v>
      </c>
      <c r="AG407" s="48" t="str">
        <f>IF(ISNUMBER(AC407*AD407*K408),AC407*AD407*K408,"")</f>
        <v/>
      </c>
      <c r="AH407" s="104"/>
      <c r="AI407" s="35"/>
      <c r="AJ407" s="35"/>
      <c r="AK407" s="36"/>
      <c r="AL407" s="36"/>
      <c r="AM407" s="36"/>
      <c r="AN407" s="36"/>
      <c r="AO407" s="36"/>
      <c r="AP407" s="36"/>
      <c r="AQ407" s="36"/>
      <c r="AR407" s="36"/>
      <c r="AS407" s="36"/>
      <c r="AT407" s="36"/>
      <c r="AU407" s="36"/>
      <c r="AV407" s="36"/>
      <c r="AW407" s="36"/>
      <c r="AX407" s="36"/>
      <c r="AY407" s="36"/>
      <c r="AZ407" s="36"/>
      <c r="BA407" s="36"/>
      <c r="BB407" s="36"/>
    </row>
    <row r="408" spans="2:54" s="30" customFormat="1" ht="30" x14ac:dyDescent="0.2">
      <c r="B408" s="166" t="s">
        <v>499</v>
      </c>
      <c r="C408" s="471" t="s">
        <v>298</v>
      </c>
      <c r="D408" s="472"/>
      <c r="E408" s="472"/>
      <c r="F408" s="472"/>
      <c r="G408" s="473"/>
      <c r="J408" s="32" t="s">
        <v>396</v>
      </c>
      <c r="K408" s="92" t="str">
        <f>IFERROR(IF(ISNUMBER(L408),L408,VLOOKUP(C408,Kalusto!$C$45:$U$84,19,FALSE)*VLOOKUP(C409,Muut!$D$40:$E$43,2,FALSE)),"--")</f>
        <v>--</v>
      </c>
      <c r="L408" s="39"/>
      <c r="M408" s="40" t="s">
        <v>188</v>
      </c>
      <c r="N408" s="40"/>
      <c r="O408" s="250"/>
      <c r="P408" s="33"/>
      <c r="Q408" s="50"/>
      <c r="R408" s="35"/>
      <c r="S408" s="35"/>
      <c r="T408" s="35"/>
      <c r="U408" s="35"/>
      <c r="V408" s="35"/>
      <c r="W408" s="35"/>
      <c r="X408" s="35"/>
      <c r="Y408" s="35"/>
      <c r="Z408" s="35"/>
      <c r="AA408" s="35"/>
      <c r="AB408" s="35"/>
      <c r="AC408" s="35"/>
      <c r="AD408" s="35"/>
      <c r="AE408" s="35"/>
      <c r="AF408" s="35"/>
      <c r="AG408" s="35"/>
      <c r="AH408" s="104"/>
      <c r="AI408" s="35"/>
      <c r="AJ408" s="35"/>
      <c r="AK408" s="36"/>
      <c r="AL408" s="36"/>
      <c r="AM408" s="36"/>
      <c r="AN408" s="36"/>
      <c r="AO408" s="36"/>
      <c r="AP408" s="36"/>
      <c r="AQ408" s="36"/>
      <c r="AR408" s="36"/>
      <c r="AS408" s="36"/>
      <c r="AT408" s="36"/>
      <c r="AU408" s="36"/>
      <c r="AV408" s="36"/>
      <c r="AW408" s="36"/>
      <c r="AX408" s="36"/>
      <c r="AY408" s="36"/>
      <c r="AZ408" s="36"/>
      <c r="BA408" s="36"/>
      <c r="BB408" s="36"/>
    </row>
    <row r="409" spans="2:54" s="30" customFormat="1" ht="15" x14ac:dyDescent="0.2">
      <c r="B409" s="182" t="s">
        <v>457</v>
      </c>
      <c r="C409" s="156" t="s">
        <v>309</v>
      </c>
      <c r="D409" s="33"/>
      <c r="E409" s="33"/>
      <c r="F409" s="33"/>
      <c r="G409" s="33"/>
      <c r="H409" s="57"/>
      <c r="J409" s="169"/>
      <c r="K409" s="169"/>
      <c r="L409" s="169"/>
      <c r="M409" s="40"/>
      <c r="N409" s="40"/>
      <c r="O409" s="250"/>
      <c r="Q409" s="45"/>
      <c r="R409" s="98"/>
      <c r="S409" s="98"/>
      <c r="T409" s="35"/>
      <c r="U409" s="35"/>
      <c r="V409" s="177"/>
      <c r="W409" s="177"/>
      <c r="X409" s="59"/>
      <c r="Y409" s="35"/>
      <c r="Z409" s="59"/>
      <c r="AA409" s="178"/>
      <c r="AB409" s="59"/>
      <c r="AC409" s="59"/>
      <c r="AD409" s="59"/>
      <c r="AE409" s="59"/>
      <c r="AF409" s="178"/>
      <c r="AG409" s="59"/>
      <c r="AH409" s="104"/>
      <c r="AI409" s="35"/>
      <c r="AJ409" s="35"/>
      <c r="AK409" s="36"/>
      <c r="AL409" s="36"/>
      <c r="AM409" s="36"/>
      <c r="AN409" s="36"/>
      <c r="AO409" s="36"/>
      <c r="AP409" s="36"/>
      <c r="AQ409" s="36"/>
      <c r="AR409" s="36"/>
      <c r="AS409" s="36"/>
      <c r="AT409" s="36"/>
      <c r="AU409" s="36"/>
      <c r="AV409" s="36"/>
      <c r="AW409" s="36"/>
      <c r="AX409" s="36"/>
      <c r="AY409" s="36"/>
      <c r="AZ409" s="36"/>
      <c r="BA409" s="36"/>
      <c r="BB409" s="36"/>
    </row>
    <row r="410" spans="2:54" s="30" customFormat="1" ht="15" x14ac:dyDescent="0.2">
      <c r="B410" s="44" t="s">
        <v>498</v>
      </c>
      <c r="C410" s="152"/>
      <c r="D410" s="81" t="s">
        <v>164</v>
      </c>
      <c r="G410" s="33"/>
      <c r="H410" s="81"/>
      <c r="I410" s="51"/>
      <c r="J410" s="51"/>
      <c r="K410" s="33"/>
      <c r="L410" s="33"/>
      <c r="M410" s="81"/>
      <c r="N410" s="81"/>
      <c r="O410" s="251"/>
      <c r="P410" s="51"/>
      <c r="Q410" s="50"/>
      <c r="R410" s="35"/>
      <c r="S410" s="35"/>
      <c r="T410" s="35"/>
      <c r="U410" s="35"/>
      <c r="V410" s="35"/>
      <c r="W410" s="35"/>
      <c r="X410" s="35"/>
      <c r="Y410" s="35"/>
      <c r="Z410" s="35"/>
      <c r="AA410" s="35"/>
      <c r="AB410" s="35"/>
      <c r="AC410" s="35"/>
      <c r="AD410" s="35"/>
      <c r="AE410" s="35"/>
      <c r="AF410" s="35"/>
      <c r="AG410" s="35"/>
      <c r="AH410" s="104"/>
      <c r="AI410" s="35"/>
      <c r="AJ410" s="35"/>
      <c r="AK410" s="36"/>
      <c r="AL410" s="36"/>
      <c r="AM410" s="36"/>
      <c r="AN410" s="36"/>
      <c r="AO410" s="36"/>
      <c r="AP410" s="36"/>
      <c r="AQ410" s="36"/>
      <c r="AR410" s="36"/>
      <c r="AS410" s="36"/>
      <c r="AT410" s="36"/>
      <c r="AU410" s="36"/>
      <c r="AV410" s="36"/>
      <c r="AW410" s="36"/>
      <c r="AX410" s="36"/>
      <c r="AY410" s="36"/>
      <c r="AZ410" s="36"/>
      <c r="BA410" s="36"/>
      <c r="BB410" s="36"/>
    </row>
    <row r="411" spans="2:54" s="30" customFormat="1" ht="15" x14ac:dyDescent="0.2">
      <c r="B411" s="151" t="s">
        <v>4</v>
      </c>
      <c r="C411" s="33"/>
      <c r="D411" s="81"/>
      <c r="G411" s="33"/>
      <c r="H411" s="81"/>
      <c r="J411" s="32"/>
      <c r="K411" s="37" t="s">
        <v>297</v>
      </c>
      <c r="L411" s="37" t="s">
        <v>185</v>
      </c>
      <c r="M411" s="81"/>
      <c r="N411" s="81"/>
      <c r="O411" s="251"/>
      <c r="P411" s="33"/>
      <c r="Q411" s="34"/>
      <c r="R411" s="35" t="s">
        <v>318</v>
      </c>
      <c r="S411" s="35"/>
      <c r="T411" s="35" t="s">
        <v>400</v>
      </c>
      <c r="U411" s="35" t="s">
        <v>399</v>
      </c>
      <c r="V411" s="35" t="s">
        <v>397</v>
      </c>
      <c r="W411" s="35" t="s">
        <v>398</v>
      </c>
      <c r="X411" s="35" t="s">
        <v>401</v>
      </c>
      <c r="Y411" s="35" t="s">
        <v>403</v>
      </c>
      <c r="Z411" s="35" t="s">
        <v>402</v>
      </c>
      <c r="AA411" s="35" t="s">
        <v>186</v>
      </c>
      <c r="AB411" s="35" t="s">
        <v>345</v>
      </c>
      <c r="AC411" s="35" t="s">
        <v>404</v>
      </c>
      <c r="AD411" s="35" t="s">
        <v>346</v>
      </c>
      <c r="AE411" s="35" t="s">
        <v>405</v>
      </c>
      <c r="AF411" s="35" t="s">
        <v>406</v>
      </c>
      <c r="AG411" s="35" t="s">
        <v>578</v>
      </c>
      <c r="AH411" s="104"/>
      <c r="AI411" s="35"/>
      <c r="AJ411" s="35"/>
      <c r="AK411" s="36"/>
      <c r="AL411" s="36"/>
      <c r="AM411" s="36"/>
      <c r="AN411" s="36"/>
      <c r="AO411" s="36"/>
      <c r="AP411" s="36"/>
      <c r="AQ411" s="36"/>
      <c r="AR411" s="36"/>
      <c r="AS411" s="36"/>
      <c r="AT411" s="36"/>
      <c r="AU411" s="36"/>
      <c r="AV411" s="36"/>
      <c r="AW411" s="36"/>
      <c r="AX411" s="36"/>
      <c r="AY411" s="36"/>
      <c r="AZ411" s="36"/>
      <c r="BA411" s="36"/>
      <c r="BB411" s="36"/>
    </row>
    <row r="412" spans="2:54" s="30" customFormat="1" ht="30" x14ac:dyDescent="0.2">
      <c r="B412" s="166" t="s">
        <v>501</v>
      </c>
      <c r="C412" s="385"/>
      <c r="D412" s="86" t="s">
        <v>52</v>
      </c>
      <c r="E412" s="57"/>
      <c r="F412" s="55"/>
      <c r="G412" s="360"/>
      <c r="H412" s="81" t="str">
        <f>IF(D412="t","","t/m3")</f>
        <v/>
      </c>
      <c r="J412" s="169" t="s">
        <v>395</v>
      </c>
      <c r="K412" s="92" t="str">
        <f>IFERROR(IF(ISNUMBER(L412),L412,(VLOOKUP(C413,Kalusto!$C$45:$G$84,5,FALSE)*VLOOKUP(C414,Muut!$D$40:$E$43,2,FALSE))),"--")</f>
        <v>--</v>
      </c>
      <c r="L412" s="39"/>
      <c r="M412" s="40" t="s">
        <v>184</v>
      </c>
      <c r="N412" s="40"/>
      <c r="O412" s="250"/>
      <c r="Q412" s="45"/>
      <c r="R412" s="48" t="str">
        <f>IF(AND(NOT(ISNUMBER(AB412)),NOT(ISNUMBER(AG412))),"",IF(ISNUMBER(AB412),AB412,0)+IF(ISNUMBER(AG412),AG412,0))</f>
        <v/>
      </c>
      <c r="S412" s="98" t="s">
        <v>160</v>
      </c>
      <c r="T412" s="46" t="str">
        <f>IFERROR(IF(ISNUMBER(L412),"Kohdetieto",VLOOKUP(C413,Kalusto!$C$45:$L$84,7,FALSE)),"--")</f>
        <v>--</v>
      </c>
      <c r="U412" s="46" t="str">
        <f>IFERROR(IF(ISNUMBER(L412),"Kohdetieto",VLOOKUP(C413,Kalusto!$C$45:$L$84,8,FALSE)),"--")</f>
        <v>--</v>
      </c>
      <c r="V412" s="47" t="str">
        <f>IFERROR(IF(ISNUMBER(L412),"Kohdetieto",VLOOKUP(C413,Kalusto!$C$45:$L$84,9,FALSE)),"--")</f>
        <v>--</v>
      </c>
      <c r="W412" s="47" t="str">
        <f>IFERROR(IF(ISNUMBER(L412),"Kohdetieto",VLOOKUP(C413,Kalusto!$C$45:$L$84,10,FALSE)),"--")</f>
        <v>--</v>
      </c>
      <c r="X412" s="48" t="str">
        <f>IF(ISBLANK(C412),"",IF(D412="t",C412,C412*G412))</f>
        <v/>
      </c>
      <c r="Y412" s="46" t="str">
        <f>IF(ISNUMBER(C415),C415,"")</f>
        <v/>
      </c>
      <c r="Z412" s="48" t="str">
        <f>IF(ISNUMBER(X412/(U412*V412)*Y412),X412/(U412*V412)*Y412,"")</f>
        <v/>
      </c>
      <c r="AA412" s="49" t="str">
        <f>IF(ISNUMBER(L412),L412,K412)</f>
        <v>--</v>
      </c>
      <c r="AB412" s="48" t="str">
        <f>IF(ISNUMBER(Y412*X412*K412),Y412*X412*K412,"")</f>
        <v/>
      </c>
      <c r="AC412" s="48" t="str">
        <f>IF(ISNUMBER(Y412),Y412,"")</f>
        <v/>
      </c>
      <c r="AD412" s="48" t="str">
        <f>IF(ISNUMBER(X412),IF(ISNUMBER(X412/(U412*V412)),CEILING(X412/(U412*V412),1),""),"")</f>
        <v/>
      </c>
      <c r="AE412" s="48" t="str">
        <f>IF(ISNUMBER(AD412*AC412),AD412*AC412,"")</f>
        <v/>
      </c>
      <c r="AF412" s="49" t="str">
        <f>IF(ISNUMBER(L413),L413,K413)</f>
        <v>--</v>
      </c>
      <c r="AG412" s="48" t="str">
        <f>IF(ISNUMBER(AC412*AD412*K413),AC412*AD412*K413,"")</f>
        <v/>
      </c>
      <c r="AH412" s="104"/>
      <c r="AI412" s="35"/>
      <c r="AJ412" s="35"/>
      <c r="AK412" s="36"/>
      <c r="AL412" s="36"/>
      <c r="AM412" s="36"/>
      <c r="AN412" s="36"/>
      <c r="AO412" s="36"/>
      <c r="AP412" s="36"/>
      <c r="AQ412" s="36"/>
      <c r="AR412" s="36"/>
      <c r="AS412" s="36"/>
      <c r="AT412" s="36"/>
      <c r="AU412" s="36"/>
      <c r="AV412" s="36"/>
      <c r="AW412" s="36"/>
      <c r="AX412" s="36"/>
      <c r="AY412" s="36"/>
      <c r="AZ412" s="36"/>
      <c r="BA412" s="36"/>
      <c r="BB412" s="36"/>
    </row>
    <row r="413" spans="2:54" s="30" customFormat="1" ht="30" x14ac:dyDescent="0.2">
      <c r="B413" s="166" t="s">
        <v>499</v>
      </c>
      <c r="C413" s="471" t="s">
        <v>298</v>
      </c>
      <c r="D413" s="472"/>
      <c r="E413" s="472"/>
      <c r="F413" s="472"/>
      <c r="G413" s="473"/>
      <c r="I413" s="57"/>
      <c r="J413" s="32" t="s">
        <v>396</v>
      </c>
      <c r="K413" s="92" t="str">
        <f>IFERROR(IF(ISNUMBER(L413),L413,VLOOKUP(C413,Kalusto!$C$45:$U$84,19,FALSE)*VLOOKUP(C414,Muut!$D$40:$E$43,2,FALSE)),"--")</f>
        <v>--</v>
      </c>
      <c r="L413" s="39"/>
      <c r="M413" s="40" t="s">
        <v>188</v>
      </c>
      <c r="N413" s="40"/>
      <c r="O413" s="250"/>
      <c r="P413" s="33"/>
      <c r="Q413" s="50"/>
      <c r="R413" s="95"/>
      <c r="S413" s="35"/>
      <c r="T413" s="35"/>
      <c r="U413" s="35"/>
      <c r="V413" s="35"/>
      <c r="W413" s="35"/>
      <c r="X413" s="35"/>
      <c r="Y413" s="35"/>
      <c r="Z413" s="35"/>
      <c r="AA413" s="35"/>
      <c r="AB413" s="35"/>
      <c r="AC413" s="35"/>
      <c r="AD413" s="35"/>
      <c r="AE413" s="35"/>
      <c r="AF413" s="35"/>
      <c r="AG413" s="35"/>
      <c r="AH413" s="35"/>
      <c r="AI413" s="35"/>
      <c r="AJ413" s="35"/>
      <c r="AK413" s="36"/>
      <c r="AL413" s="36"/>
      <c r="AM413" s="36"/>
      <c r="AN413" s="36"/>
      <c r="AO413" s="36"/>
      <c r="AP413" s="36"/>
      <c r="AQ413" s="36"/>
      <c r="AR413" s="36"/>
      <c r="AS413" s="36"/>
      <c r="AT413" s="36"/>
      <c r="AU413" s="36"/>
      <c r="AV413" s="36"/>
      <c r="AW413" s="36"/>
      <c r="AX413" s="36"/>
      <c r="AY413" s="36"/>
      <c r="AZ413" s="36"/>
      <c r="BA413" s="36"/>
      <c r="BB413" s="36"/>
    </row>
    <row r="414" spans="2:54" s="30" customFormat="1" ht="15" x14ac:dyDescent="0.2">
      <c r="B414" s="182" t="s">
        <v>457</v>
      </c>
      <c r="C414" s="156" t="s">
        <v>309</v>
      </c>
      <c r="D414" s="33"/>
      <c r="E414" s="33"/>
      <c r="F414" s="33"/>
      <c r="G414" s="33"/>
      <c r="H414" s="57"/>
      <c r="J414" s="169"/>
      <c r="K414" s="169"/>
      <c r="L414" s="169"/>
      <c r="M414" s="40"/>
      <c r="N414" s="40"/>
      <c r="O414" s="250"/>
      <c r="Q414" s="45"/>
      <c r="R414" s="98"/>
      <c r="S414" s="98"/>
      <c r="T414" s="35"/>
      <c r="U414" s="35"/>
      <c r="V414" s="177"/>
      <c r="W414" s="177"/>
      <c r="X414" s="59"/>
      <c r="Y414" s="35"/>
      <c r="Z414" s="59"/>
      <c r="AA414" s="178"/>
      <c r="AB414" s="59"/>
      <c r="AC414" s="59"/>
      <c r="AD414" s="59"/>
      <c r="AE414" s="59"/>
      <c r="AF414" s="178"/>
      <c r="AG414" s="59"/>
      <c r="AH414" s="104"/>
      <c r="AI414" s="35"/>
      <c r="AJ414" s="35"/>
      <c r="AK414" s="36"/>
      <c r="AL414" s="36"/>
      <c r="AM414" s="36"/>
      <c r="AN414" s="36"/>
      <c r="AO414" s="36"/>
      <c r="AP414" s="36"/>
      <c r="AQ414" s="36"/>
      <c r="AR414" s="36"/>
      <c r="AS414" s="36"/>
      <c r="AT414" s="36"/>
      <c r="AU414" s="36"/>
      <c r="AV414" s="36"/>
      <c r="AW414" s="36"/>
      <c r="AX414" s="36"/>
      <c r="AY414" s="36"/>
      <c r="AZ414" s="36"/>
      <c r="BA414" s="36"/>
      <c r="BB414" s="36"/>
    </row>
    <row r="415" spans="2:54" s="30" customFormat="1" ht="15" x14ac:dyDescent="0.2">
      <c r="B415" s="44" t="s">
        <v>498</v>
      </c>
      <c r="C415" s="386"/>
      <c r="D415" s="81" t="s">
        <v>5</v>
      </c>
      <c r="G415" s="33"/>
      <c r="H415" s="81"/>
      <c r="I415" s="51"/>
      <c r="J415" s="51"/>
      <c r="K415" s="33"/>
      <c r="L415" s="33"/>
      <c r="M415" s="81"/>
      <c r="N415" s="81"/>
      <c r="O415" s="251"/>
      <c r="P415" s="51"/>
      <c r="Q415" s="50"/>
      <c r="R415" s="95"/>
      <c r="S415" s="35"/>
      <c r="T415" s="35"/>
      <c r="U415" s="35"/>
      <c r="V415" s="35"/>
      <c r="W415" s="35"/>
      <c r="X415" s="35"/>
      <c r="Y415" s="35"/>
      <c r="Z415" s="35"/>
      <c r="AA415" s="35"/>
      <c r="AB415" s="35"/>
      <c r="AC415" s="35"/>
      <c r="AD415" s="35"/>
      <c r="AE415" s="35"/>
      <c r="AF415" s="35"/>
      <c r="AG415" s="35"/>
      <c r="AH415" s="35"/>
      <c r="AI415" s="35"/>
      <c r="AJ415" s="35"/>
      <c r="AK415" s="36"/>
      <c r="AL415" s="36"/>
      <c r="AM415" s="36"/>
      <c r="AN415" s="36"/>
      <c r="AO415" s="36"/>
      <c r="AP415" s="36"/>
      <c r="AQ415" s="36"/>
      <c r="AR415" s="36"/>
      <c r="AS415" s="36"/>
      <c r="AT415" s="36"/>
      <c r="AU415" s="36"/>
      <c r="AV415" s="36"/>
      <c r="AW415" s="36"/>
      <c r="AX415" s="36"/>
      <c r="AY415" s="36"/>
      <c r="AZ415" s="36"/>
      <c r="BA415" s="36"/>
      <c r="BB415" s="36"/>
    </row>
    <row r="416" spans="2:54" s="30" customFormat="1" ht="15" x14ac:dyDescent="0.2">
      <c r="B416" s="52"/>
      <c r="C416" s="33"/>
      <c r="D416" s="57"/>
      <c r="E416" s="56"/>
      <c r="F416" s="56"/>
      <c r="G416" s="33"/>
      <c r="H416" s="81"/>
      <c r="J416" s="32"/>
      <c r="K416" s="33"/>
      <c r="L416" s="33"/>
      <c r="M416" s="81"/>
      <c r="N416" s="81"/>
      <c r="O416" s="251"/>
      <c r="Q416" s="34"/>
      <c r="R416" s="95"/>
      <c r="S416" s="35"/>
      <c r="T416" s="35"/>
      <c r="U416" s="35"/>
      <c r="V416" s="35"/>
      <c r="W416" s="35"/>
      <c r="X416" s="35"/>
      <c r="Y416" s="35"/>
      <c r="Z416" s="35"/>
      <c r="AA416" s="35"/>
      <c r="AB416" s="35"/>
      <c r="AC416" s="35"/>
      <c r="AD416" s="35"/>
      <c r="AE416" s="35"/>
      <c r="AF416" s="35"/>
      <c r="AG416" s="35"/>
      <c r="AH416" s="35"/>
      <c r="AI416" s="35"/>
      <c r="AJ416" s="35"/>
      <c r="AK416" s="36"/>
      <c r="AL416" s="36"/>
      <c r="AM416" s="36"/>
      <c r="AN416" s="36"/>
      <c r="AO416" s="36"/>
      <c r="AP416" s="36"/>
      <c r="AQ416" s="36"/>
      <c r="AR416" s="36"/>
      <c r="AS416" s="36"/>
      <c r="AT416" s="36"/>
      <c r="AU416" s="36"/>
      <c r="AV416" s="36"/>
      <c r="AW416" s="36"/>
      <c r="AX416" s="36"/>
      <c r="AY416" s="36"/>
      <c r="AZ416" s="36"/>
      <c r="BA416" s="36"/>
      <c r="BB416" s="36"/>
    </row>
    <row r="417" spans="1:54" s="30" customFormat="1" ht="15" x14ac:dyDescent="0.2">
      <c r="B417" s="173" t="s">
        <v>502</v>
      </c>
      <c r="C417" s="33"/>
      <c r="D417" s="57"/>
      <c r="E417" s="56"/>
      <c r="F417" s="56"/>
      <c r="G417" s="33"/>
      <c r="H417" s="81"/>
      <c r="J417" s="32"/>
      <c r="K417" s="33"/>
      <c r="L417" s="33"/>
      <c r="M417" s="81"/>
      <c r="N417" s="81"/>
      <c r="O417" s="251"/>
      <c r="Q417" s="34"/>
      <c r="R417" s="95"/>
      <c r="S417" s="35"/>
      <c r="T417" s="35"/>
      <c r="U417" s="35"/>
      <c r="V417" s="35"/>
      <c r="W417" s="35"/>
      <c r="X417" s="35"/>
      <c r="Y417" s="35"/>
      <c r="Z417" s="35"/>
      <c r="AA417" s="35"/>
      <c r="AB417" s="35"/>
      <c r="AC417" s="35"/>
      <c r="AD417" s="35"/>
      <c r="AE417" s="35"/>
      <c r="AF417" s="35"/>
      <c r="AG417" s="35"/>
      <c r="AH417" s="35"/>
      <c r="AI417" s="35"/>
      <c r="AJ417" s="35"/>
      <c r="AK417" s="36"/>
      <c r="AL417" s="36"/>
      <c r="AM417" s="36"/>
      <c r="AN417" s="36"/>
      <c r="AO417" s="36"/>
      <c r="AP417" s="36"/>
      <c r="AQ417" s="36"/>
      <c r="AR417" s="36"/>
      <c r="AS417" s="36"/>
      <c r="AT417" s="36"/>
      <c r="AU417" s="36"/>
      <c r="AV417" s="36"/>
      <c r="AW417" s="36"/>
      <c r="AX417" s="36"/>
      <c r="AY417" s="36"/>
      <c r="AZ417" s="36"/>
      <c r="BA417" s="36"/>
      <c r="BB417" s="36"/>
    </row>
    <row r="418" spans="1:54" s="30" customFormat="1" ht="15" x14ac:dyDescent="0.2">
      <c r="B418" s="52"/>
      <c r="C418" s="33"/>
      <c r="D418" s="57"/>
      <c r="E418" s="56"/>
      <c r="F418" s="56"/>
      <c r="G418" s="33"/>
      <c r="H418" s="81"/>
      <c r="J418" s="32"/>
      <c r="K418" s="33"/>
      <c r="L418" s="33"/>
      <c r="M418" s="81"/>
      <c r="N418" s="81"/>
      <c r="O418" s="249"/>
      <c r="Q418" s="34"/>
      <c r="R418" s="95"/>
      <c r="S418" s="35"/>
      <c r="T418" s="35"/>
      <c r="U418" s="35"/>
      <c r="V418" s="35"/>
      <c r="W418" s="35"/>
      <c r="X418" s="35"/>
      <c r="Y418" s="35"/>
      <c r="Z418" s="35"/>
      <c r="AA418" s="35"/>
      <c r="AB418" s="35"/>
      <c r="AC418" s="35"/>
      <c r="AD418" s="35"/>
      <c r="AE418" s="35"/>
      <c r="AF418" s="35"/>
      <c r="AG418" s="35"/>
      <c r="AH418" s="35"/>
      <c r="AI418" s="35"/>
      <c r="AJ418" s="35"/>
      <c r="AK418" s="36"/>
      <c r="AL418" s="36"/>
      <c r="AM418" s="36"/>
      <c r="AN418" s="36"/>
      <c r="AO418" s="36"/>
      <c r="AP418" s="36"/>
      <c r="AQ418" s="36"/>
      <c r="AR418" s="36"/>
      <c r="AS418" s="36"/>
      <c r="AT418" s="36"/>
      <c r="AU418" s="36"/>
      <c r="AV418" s="36"/>
      <c r="AW418" s="36"/>
      <c r="AX418" s="36"/>
      <c r="AY418" s="36"/>
      <c r="AZ418" s="36"/>
      <c r="BA418" s="36"/>
      <c r="BB418" s="36"/>
    </row>
    <row r="419" spans="1:54" s="30" customFormat="1" ht="18" x14ac:dyDescent="0.2">
      <c r="A419" s="289"/>
      <c r="B419" s="286" t="s">
        <v>41</v>
      </c>
      <c r="C419" s="287"/>
      <c r="D419" s="288"/>
      <c r="E419" s="289"/>
      <c r="F419" s="289"/>
      <c r="G419" s="287"/>
      <c r="H419" s="288"/>
      <c r="I419" s="289"/>
      <c r="J419" s="289"/>
      <c r="K419" s="290"/>
      <c r="L419" s="290"/>
      <c r="M419" s="288"/>
      <c r="N419" s="288"/>
      <c r="O419" s="291"/>
      <c r="P419" s="289"/>
      <c r="Q419" s="292"/>
      <c r="R419" s="293"/>
      <c r="S419" s="294"/>
      <c r="T419" s="294"/>
      <c r="U419" s="294"/>
      <c r="V419" s="294"/>
      <c r="W419" s="294"/>
      <c r="X419" s="294"/>
      <c r="Y419" s="294"/>
      <c r="Z419" s="294"/>
      <c r="AA419" s="294"/>
      <c r="AB419" s="294"/>
      <c r="AC419" s="294"/>
      <c r="AD419" s="294"/>
      <c r="AE419" s="294"/>
      <c r="AF419" s="294"/>
      <c r="AG419" s="294"/>
      <c r="AH419" s="294"/>
      <c r="AI419" s="294"/>
      <c r="AJ419" s="294"/>
      <c r="AK419" s="295"/>
      <c r="AL419" s="295"/>
      <c r="AM419" s="295"/>
      <c r="AN419" s="295"/>
      <c r="AO419" s="295"/>
      <c r="AP419" s="295"/>
      <c r="AQ419" s="295"/>
      <c r="AR419" s="295"/>
      <c r="AS419" s="295"/>
      <c r="AT419" s="295"/>
      <c r="AU419" s="295"/>
      <c r="AV419" s="295"/>
      <c r="AW419" s="295"/>
      <c r="AX419" s="295"/>
      <c r="AY419" s="295"/>
      <c r="AZ419" s="295"/>
      <c r="BA419" s="295"/>
      <c r="BB419" s="295"/>
    </row>
    <row r="420" spans="1:54" s="30" customFormat="1" ht="15.75" x14ac:dyDescent="0.2">
      <c r="B420" s="8"/>
      <c r="C420" s="33"/>
      <c r="D420" s="81"/>
      <c r="G420" s="33"/>
      <c r="H420" s="81"/>
      <c r="J420" s="32"/>
      <c r="K420" s="33"/>
      <c r="L420" s="33"/>
      <c r="M420" s="81"/>
      <c r="N420" s="81"/>
      <c r="O420" s="249" t="s">
        <v>584</v>
      </c>
      <c r="Q420" s="34"/>
      <c r="R420" s="95"/>
      <c r="S420" s="35"/>
      <c r="T420" s="35"/>
      <c r="U420" s="35"/>
      <c r="V420" s="35"/>
      <c r="W420" s="35"/>
      <c r="X420" s="35"/>
      <c r="Y420" s="35"/>
      <c r="Z420" s="35"/>
      <c r="AA420" s="35"/>
      <c r="AB420" s="35"/>
      <c r="AC420" s="35"/>
      <c r="AD420" s="35"/>
      <c r="AE420" s="35"/>
      <c r="AF420" s="35"/>
      <c r="AG420" s="35"/>
      <c r="AH420" s="35"/>
      <c r="AI420" s="35"/>
      <c r="AJ420" s="35"/>
      <c r="AK420" s="36"/>
      <c r="AL420" s="36"/>
      <c r="AM420" s="36"/>
      <c r="AN420" s="36"/>
      <c r="AO420" s="36"/>
      <c r="AP420" s="36"/>
      <c r="AQ420" s="36"/>
      <c r="AR420" s="36"/>
      <c r="AS420" s="36"/>
      <c r="AT420" s="36"/>
      <c r="AU420" s="36"/>
      <c r="AV420" s="36"/>
      <c r="AW420" s="36"/>
      <c r="AX420" s="36"/>
      <c r="AY420" s="36"/>
      <c r="AZ420" s="36"/>
      <c r="BA420" s="36"/>
      <c r="BB420" s="36"/>
    </row>
    <row r="421" spans="1:54" s="30" customFormat="1" ht="15.75" x14ac:dyDescent="0.2">
      <c r="B421" s="8" t="s">
        <v>545</v>
      </c>
      <c r="C421" s="33"/>
      <c r="D421" s="81"/>
      <c r="G421" s="33"/>
      <c r="H421" s="81"/>
      <c r="J421" s="32"/>
      <c r="K421" s="37"/>
      <c r="L421" s="37"/>
      <c r="M421" s="81"/>
      <c r="N421" s="81"/>
      <c r="O421" s="250"/>
      <c r="Q421" s="34"/>
      <c r="R421" s="35"/>
      <c r="S421" s="35"/>
      <c r="T421" s="35"/>
      <c r="U421" s="35"/>
      <c r="V421" s="35"/>
      <c r="W421" s="35"/>
      <c r="X421" s="35"/>
      <c r="Y421" s="35"/>
      <c r="Z421" s="35"/>
      <c r="AA421" s="35"/>
      <c r="AB421" s="35"/>
      <c r="AC421" s="35"/>
      <c r="AD421" s="35"/>
      <c r="AE421" s="35"/>
      <c r="AF421" s="35"/>
      <c r="AG421" s="35"/>
      <c r="AH421" s="35"/>
      <c r="AI421" s="35"/>
      <c r="AJ421" s="35"/>
      <c r="AK421" s="36"/>
      <c r="AL421" s="36"/>
      <c r="AM421" s="36"/>
      <c r="AN421" s="36"/>
      <c r="AO421" s="36"/>
      <c r="AP421" s="36"/>
      <c r="AQ421" s="36"/>
      <c r="AR421" s="36"/>
      <c r="AS421" s="36"/>
      <c r="AT421" s="36"/>
      <c r="AU421" s="36"/>
      <c r="AV421" s="36"/>
      <c r="AW421" s="36"/>
      <c r="AX421" s="36"/>
      <c r="AY421" s="36"/>
      <c r="AZ421" s="36"/>
      <c r="BA421" s="36"/>
      <c r="BB421" s="36"/>
    </row>
    <row r="422" spans="1:54" s="30" customFormat="1" ht="15.75" x14ac:dyDescent="0.2">
      <c r="B422" s="8"/>
      <c r="C422" s="33"/>
      <c r="D422" s="81"/>
      <c r="G422" s="33"/>
      <c r="H422" s="81"/>
      <c r="J422" s="32"/>
      <c r="K422" s="37" t="s">
        <v>297</v>
      </c>
      <c r="L422" s="37" t="s">
        <v>185</v>
      </c>
      <c r="M422" s="81"/>
      <c r="N422" s="81"/>
      <c r="O422" s="251"/>
      <c r="Q422" s="34"/>
      <c r="R422" s="35" t="s">
        <v>318</v>
      </c>
      <c r="S422" s="35"/>
      <c r="T422" s="35"/>
      <c r="U422" s="35"/>
      <c r="V422" s="35"/>
      <c r="W422" s="35"/>
      <c r="X422" s="35"/>
      <c r="Y422" s="35"/>
      <c r="Z422" s="35"/>
      <c r="AA422" s="35"/>
      <c r="AB422" s="35"/>
      <c r="AC422" s="35"/>
      <c r="AD422" s="35"/>
      <c r="AE422" s="35"/>
      <c r="AF422" s="35"/>
      <c r="AG422" s="35"/>
      <c r="AH422" s="35"/>
      <c r="AI422" s="35"/>
      <c r="AJ422" s="35"/>
      <c r="AK422" s="36"/>
      <c r="AL422" s="36"/>
      <c r="AM422" s="36"/>
      <c r="AN422" s="36"/>
      <c r="AO422" s="36"/>
      <c r="AP422" s="36"/>
      <c r="AQ422" s="36"/>
      <c r="AR422" s="36"/>
      <c r="AS422" s="36"/>
      <c r="AT422" s="36"/>
      <c r="AU422" s="36"/>
      <c r="AV422" s="36"/>
      <c r="AW422" s="36"/>
      <c r="AX422" s="36"/>
      <c r="AY422" s="36"/>
      <c r="AZ422" s="36"/>
      <c r="BA422" s="36"/>
      <c r="BB422" s="36"/>
    </row>
    <row r="423" spans="1:54" s="30" customFormat="1" ht="30" x14ac:dyDescent="0.2">
      <c r="B423" s="83" t="s">
        <v>500</v>
      </c>
      <c r="C423" s="156"/>
      <c r="D423" s="81" t="s">
        <v>163</v>
      </c>
      <c r="G423" s="33"/>
      <c r="H423" s="81"/>
      <c r="J423" s="32" t="s">
        <v>513</v>
      </c>
      <c r="K423" s="92">
        <f>IF(ISNUMBER(L423),L423,Muut!$F$29*IF(OR(C424=Pudotusvalikot!$V$3,C424=Pudotusvalikot!$V$4),Muut!$E$40,IF(C424=Pudotusvalikot!$V$5,Muut!$E$41,IF(C424=Pudotusvalikot!$V$6,Muut!$E$42,Muut!$E$43))))</f>
        <v>0.22753333333333334</v>
      </c>
      <c r="L423" s="61"/>
      <c r="M423" s="40" t="s">
        <v>207</v>
      </c>
      <c r="N423" s="40"/>
      <c r="O423" s="250"/>
      <c r="Q423" s="34"/>
      <c r="R423" s="105" t="str">
        <f>IF(AND(ISNUMBER(K423),ISNUMBER(C423)),K423*C423,"")</f>
        <v/>
      </c>
      <c r="S423" s="98" t="s">
        <v>160</v>
      </c>
      <c r="T423" s="59"/>
      <c r="U423" s="59"/>
      <c r="V423" s="59"/>
      <c r="W423" s="35"/>
      <c r="X423" s="35"/>
      <c r="Y423" s="35"/>
      <c r="Z423" s="35"/>
      <c r="AA423" s="35"/>
      <c r="AB423" s="35"/>
      <c r="AC423" s="35"/>
      <c r="AD423" s="35"/>
      <c r="AE423" s="35"/>
      <c r="AF423" s="35"/>
      <c r="AG423" s="35"/>
      <c r="AH423" s="35"/>
      <c r="AI423" s="35"/>
      <c r="AJ423" s="35"/>
      <c r="AK423" s="36"/>
      <c r="AL423" s="36"/>
      <c r="AM423" s="36"/>
      <c r="AN423" s="36"/>
      <c r="AO423" s="36"/>
      <c r="AP423" s="36"/>
      <c r="AQ423" s="36"/>
      <c r="AR423" s="36"/>
      <c r="AS423" s="36"/>
      <c r="AT423" s="36"/>
      <c r="AU423" s="36"/>
      <c r="AV423" s="36"/>
      <c r="AW423" s="36"/>
      <c r="AX423" s="36"/>
      <c r="AY423" s="36"/>
      <c r="AZ423" s="36"/>
      <c r="BA423" s="36"/>
      <c r="BB423" s="36"/>
    </row>
    <row r="424" spans="1:54" s="30" customFormat="1" ht="15" x14ac:dyDescent="0.2">
      <c r="B424" s="166" t="s">
        <v>460</v>
      </c>
      <c r="C424" s="156" t="s">
        <v>309</v>
      </c>
      <c r="D424" s="33"/>
      <c r="E424" s="33"/>
      <c r="F424" s="33"/>
      <c r="G424" s="33"/>
      <c r="H424" s="33"/>
      <c r="I424" s="33"/>
      <c r="J424" s="169"/>
      <c r="K424" s="169"/>
      <c r="L424" s="169"/>
      <c r="M424" s="40"/>
      <c r="N424" s="40"/>
      <c r="O424" s="250"/>
      <c r="Q424" s="45"/>
      <c r="R424" s="59"/>
      <c r="S424" s="98"/>
      <c r="T424" s="35"/>
      <c r="U424" s="35"/>
      <c r="V424" s="177"/>
      <c r="W424" s="177"/>
      <c r="X424" s="59"/>
      <c r="Y424" s="35"/>
      <c r="Z424" s="59"/>
      <c r="AA424" s="178"/>
      <c r="AB424" s="59"/>
      <c r="AC424" s="59"/>
      <c r="AD424" s="59"/>
      <c r="AE424" s="59"/>
      <c r="AF424" s="178"/>
      <c r="AG424" s="59"/>
      <c r="AH424" s="104"/>
      <c r="AI424" s="35"/>
      <c r="AJ424" s="35"/>
      <c r="AK424" s="36"/>
      <c r="AL424" s="36"/>
      <c r="AM424" s="36"/>
      <c r="AN424" s="36"/>
      <c r="AO424" s="36"/>
      <c r="AP424" s="36"/>
      <c r="AQ424" s="36"/>
      <c r="AR424" s="36"/>
      <c r="AS424" s="36"/>
      <c r="AT424" s="36"/>
      <c r="AU424" s="36"/>
      <c r="AV424" s="36"/>
      <c r="AW424" s="36"/>
      <c r="AX424" s="36"/>
      <c r="AY424" s="36"/>
      <c r="AZ424" s="36"/>
      <c r="BA424" s="36"/>
      <c r="BB424" s="36"/>
    </row>
    <row r="425" spans="1:54" s="30" customFormat="1" ht="45" x14ac:dyDescent="0.2">
      <c r="B425" s="83" t="s">
        <v>476</v>
      </c>
      <c r="F425" s="33"/>
      <c r="G425" s="33"/>
      <c r="H425" s="33"/>
      <c r="I425" s="33"/>
      <c r="K425" s="37" t="s">
        <v>297</v>
      </c>
      <c r="L425" s="37" t="s">
        <v>185</v>
      </c>
      <c r="M425" s="81"/>
      <c r="N425" s="81"/>
      <c r="O425" s="251"/>
      <c r="Q425" s="34"/>
      <c r="R425" s="35" t="s">
        <v>318</v>
      </c>
      <c r="S425" s="104"/>
      <c r="T425" s="35"/>
      <c r="U425" s="35"/>
      <c r="V425" s="35"/>
      <c r="W425" s="35"/>
      <c r="X425" s="35"/>
      <c r="Y425" s="35"/>
      <c r="Z425" s="35"/>
      <c r="AA425" s="35"/>
      <c r="AB425" s="35"/>
      <c r="AC425" s="35"/>
      <c r="AD425" s="35"/>
      <c r="AE425" s="35"/>
      <c r="AF425" s="35"/>
      <c r="AG425" s="35"/>
      <c r="AH425" s="35"/>
      <c r="AI425" s="35"/>
      <c r="AJ425" s="35"/>
      <c r="AK425" s="36"/>
      <c r="AL425" s="36"/>
      <c r="AM425" s="36"/>
      <c r="AN425" s="36"/>
      <c r="AO425" s="36"/>
      <c r="AP425" s="36"/>
      <c r="AQ425" s="36"/>
      <c r="AR425" s="36"/>
      <c r="AS425" s="36"/>
      <c r="AT425" s="36"/>
      <c r="AU425" s="36"/>
      <c r="AV425" s="36"/>
      <c r="AW425" s="36"/>
      <c r="AX425" s="36"/>
      <c r="AY425" s="36"/>
      <c r="AZ425" s="36"/>
      <c r="BA425" s="36"/>
      <c r="BB425" s="36"/>
    </row>
    <row r="426" spans="1:54" s="30" customFormat="1" ht="15" x14ac:dyDescent="0.2">
      <c r="B426" s="359" t="s">
        <v>503</v>
      </c>
      <c r="C426" s="156"/>
      <c r="D426" s="81" t="s">
        <v>52</v>
      </c>
      <c r="G426" s="33"/>
      <c r="H426" s="81"/>
      <c r="J426" s="32" t="s">
        <v>347</v>
      </c>
      <c r="K426" s="134">
        <f>IF(ISNUMBER(L426),L426,Muut!$F$31)</f>
        <v>33.857142857142854</v>
      </c>
      <c r="L426" s="61"/>
      <c r="M426" s="40" t="s">
        <v>248</v>
      </c>
      <c r="N426" s="40"/>
      <c r="O426" s="250"/>
      <c r="Q426" s="34"/>
      <c r="R426" s="105" t="str">
        <f>IF(AND(ISNUMBER(K426),ISNUMBER(C426)),K426*C426,"")</f>
        <v/>
      </c>
      <c r="S426" s="98" t="s">
        <v>160</v>
      </c>
      <c r="T426" s="35"/>
      <c r="U426" s="35"/>
      <c r="V426" s="35"/>
      <c r="W426" s="35"/>
      <c r="X426" s="35"/>
      <c r="Y426" s="35"/>
      <c r="Z426" s="35"/>
      <c r="AA426" s="35"/>
      <c r="AB426" s="35"/>
      <c r="AC426" s="35"/>
      <c r="AD426" s="35"/>
      <c r="AE426" s="35"/>
      <c r="AF426" s="35"/>
      <c r="AG426" s="35"/>
      <c r="AH426" s="35"/>
      <c r="AI426" s="35"/>
      <c r="AJ426" s="35"/>
      <c r="AK426" s="36"/>
      <c r="AL426" s="36"/>
      <c r="AM426" s="36"/>
      <c r="AN426" s="36"/>
      <c r="AO426" s="36"/>
      <c r="AP426" s="36"/>
      <c r="AQ426" s="36"/>
      <c r="AR426" s="36"/>
      <c r="AS426" s="36"/>
      <c r="AT426" s="36"/>
      <c r="AU426" s="36"/>
      <c r="AV426" s="36"/>
      <c r="AW426" s="36"/>
      <c r="AX426" s="36"/>
      <c r="AY426" s="36"/>
      <c r="AZ426" s="36"/>
      <c r="BA426" s="36"/>
      <c r="BB426" s="36"/>
    </row>
    <row r="427" spans="1:54" s="30" customFormat="1" ht="15" x14ac:dyDescent="0.2">
      <c r="B427" s="166" t="s">
        <v>518</v>
      </c>
      <c r="C427" s="150"/>
      <c r="D427" s="81" t="str">
        <f>IF(ISBLANK(C427),"%","")</f>
        <v>%</v>
      </c>
      <c r="E427" s="33"/>
      <c r="F427" s="33"/>
      <c r="G427" s="33"/>
      <c r="H427" s="81"/>
      <c r="I427" s="81"/>
      <c r="J427" s="32" t="s">
        <v>508</v>
      </c>
      <c r="K427" s="134" t="str">
        <f>IF(ISNUMBER(L427),L427,"")</f>
        <v/>
      </c>
      <c r="L427" s="181"/>
      <c r="M427" s="40" t="s">
        <v>248</v>
      </c>
      <c r="N427" s="40"/>
      <c r="O427" s="250"/>
      <c r="Q427" s="34"/>
      <c r="R427" s="105" t="str">
        <f>IF(AND(ISNUMBER(K427),ISNUMBER(C427)),-K427*C427*C426,"")</f>
        <v/>
      </c>
      <c r="S427" s="98" t="s">
        <v>160</v>
      </c>
      <c r="T427" s="131" t="s">
        <v>348</v>
      </c>
      <c r="U427" s="35"/>
      <c r="V427" s="35"/>
      <c r="W427" s="35"/>
      <c r="X427" s="35"/>
      <c r="Y427" s="35"/>
      <c r="Z427" s="35"/>
      <c r="AA427" s="35"/>
      <c r="AB427" s="35"/>
      <c r="AC427" s="35"/>
      <c r="AD427" s="35"/>
      <c r="AE427" s="35"/>
      <c r="AF427" s="35"/>
      <c r="AG427" s="35"/>
      <c r="AH427" s="35"/>
      <c r="AI427" s="35"/>
      <c r="AJ427" s="35"/>
      <c r="AK427" s="36"/>
      <c r="AL427" s="36"/>
      <c r="AM427" s="36"/>
      <c r="AN427" s="36"/>
      <c r="AO427" s="36"/>
      <c r="AP427" s="36"/>
      <c r="AQ427" s="36"/>
      <c r="AR427" s="36"/>
      <c r="AS427" s="36"/>
      <c r="AT427" s="36"/>
      <c r="AU427" s="36"/>
      <c r="AV427" s="36"/>
      <c r="AW427" s="36"/>
      <c r="AX427" s="36"/>
      <c r="AY427" s="36"/>
      <c r="AZ427" s="36"/>
      <c r="BA427" s="36"/>
      <c r="BB427" s="36"/>
    </row>
    <row r="428" spans="1:54" s="30" customFormat="1" ht="15" x14ac:dyDescent="0.2">
      <c r="B428" s="166" t="s">
        <v>519</v>
      </c>
      <c r="C428" s="150"/>
      <c r="D428" s="81" t="str">
        <f>IF(ISBLANK(C428),"%","")</f>
        <v>%</v>
      </c>
      <c r="E428" s="33"/>
      <c r="F428" s="33"/>
      <c r="G428" s="33"/>
      <c r="H428" s="81"/>
      <c r="I428" s="81"/>
      <c r="J428" s="32" t="s">
        <v>512</v>
      </c>
      <c r="K428" s="134" t="str">
        <f>IF(ISNUMBER(L428),L428,"")</f>
        <v/>
      </c>
      <c r="L428" s="181"/>
      <c r="M428" s="40" t="s">
        <v>248</v>
      </c>
      <c r="N428" s="40"/>
      <c r="O428" s="250"/>
      <c r="Q428" s="34"/>
      <c r="R428" s="105" t="str">
        <f>IF(AND(ISNUMBER(K428),ISNUMBER(C428)),-K428*C428*C426,"")</f>
        <v/>
      </c>
      <c r="S428" s="98" t="s">
        <v>160</v>
      </c>
      <c r="T428" s="131" t="s">
        <v>348</v>
      </c>
      <c r="U428" s="35"/>
      <c r="V428" s="35"/>
      <c r="W428" s="35"/>
      <c r="X428" s="35"/>
      <c r="Y428" s="35"/>
      <c r="Z428" s="35"/>
      <c r="AA428" s="35"/>
      <c r="AB428" s="35"/>
      <c r="AC428" s="35"/>
      <c r="AD428" s="35"/>
      <c r="AE428" s="35"/>
      <c r="AF428" s="35"/>
      <c r="AG428" s="35"/>
      <c r="AH428" s="35"/>
      <c r="AI428" s="35"/>
      <c r="AJ428" s="35"/>
      <c r="AK428" s="36"/>
      <c r="AL428" s="36"/>
      <c r="AM428" s="36"/>
      <c r="AN428" s="36"/>
      <c r="AO428" s="36"/>
      <c r="AP428" s="36"/>
      <c r="AQ428" s="36"/>
      <c r="AR428" s="36"/>
      <c r="AS428" s="36"/>
      <c r="AT428" s="36"/>
      <c r="AU428" s="36"/>
      <c r="AV428" s="36"/>
      <c r="AW428" s="36"/>
      <c r="AX428" s="36"/>
      <c r="AY428" s="36"/>
      <c r="AZ428" s="36"/>
      <c r="BA428" s="36"/>
      <c r="BB428" s="36"/>
    </row>
    <row r="429" spans="1:54" s="30" customFormat="1" ht="15" x14ac:dyDescent="0.2">
      <c r="B429" s="359" t="s">
        <v>504</v>
      </c>
      <c r="C429" s="156"/>
      <c r="D429" s="81" t="s">
        <v>52</v>
      </c>
      <c r="G429" s="33"/>
      <c r="H429" s="81"/>
      <c r="I429" s="81"/>
      <c r="J429" s="32" t="s">
        <v>347</v>
      </c>
      <c r="K429" s="134">
        <f>IF(ISNUMBER(L429),L429,Muut!$F$31)</f>
        <v>33.857142857142854</v>
      </c>
      <c r="L429" s="61"/>
      <c r="M429" s="40" t="s">
        <v>248</v>
      </c>
      <c r="N429" s="40"/>
      <c r="O429" s="250"/>
      <c r="Q429" s="34"/>
      <c r="R429" s="105" t="str">
        <f>IF(AND(ISNUMBER(K429),ISNUMBER(C429)),K429*C429,"")</f>
        <v/>
      </c>
      <c r="S429" s="98" t="s">
        <v>160</v>
      </c>
      <c r="T429" s="35"/>
      <c r="U429" s="35"/>
      <c r="V429" s="35"/>
      <c r="W429" s="35"/>
      <c r="X429" s="35"/>
      <c r="Y429" s="35"/>
      <c r="Z429" s="35"/>
      <c r="AA429" s="35"/>
      <c r="AB429" s="35"/>
      <c r="AC429" s="35"/>
      <c r="AD429" s="35"/>
      <c r="AE429" s="35"/>
      <c r="AF429" s="35"/>
      <c r="AG429" s="35"/>
      <c r="AH429" s="35"/>
      <c r="AI429" s="35"/>
      <c r="AJ429" s="35"/>
      <c r="AK429" s="36"/>
      <c r="AL429" s="36"/>
      <c r="AM429" s="36"/>
      <c r="AN429" s="36"/>
      <c r="AO429" s="36"/>
      <c r="AP429" s="36"/>
      <c r="AQ429" s="36"/>
      <c r="AR429" s="36"/>
      <c r="AS429" s="36"/>
      <c r="AT429" s="36"/>
      <c r="AU429" s="36"/>
      <c r="AV429" s="36"/>
      <c r="AW429" s="36"/>
      <c r="AX429" s="36"/>
      <c r="AY429" s="36"/>
      <c r="AZ429" s="36"/>
      <c r="BA429" s="36"/>
      <c r="BB429" s="36"/>
    </row>
    <row r="430" spans="1:54" s="30" customFormat="1" ht="15" x14ac:dyDescent="0.2">
      <c r="B430" s="166" t="s">
        <v>520</v>
      </c>
      <c r="C430" s="150"/>
      <c r="D430" s="81" t="str">
        <f t="shared" ref="D430:D431" si="7">IF(ISBLANK(C430),"%","")</f>
        <v>%</v>
      </c>
      <c r="G430" s="33"/>
      <c r="H430" s="81"/>
      <c r="I430" s="81"/>
      <c r="J430" s="32" t="s">
        <v>508</v>
      </c>
      <c r="K430" s="92" t="str">
        <f>IF(ISNUMBER(L430),L430,"")</f>
        <v/>
      </c>
      <c r="L430" s="181"/>
      <c r="M430" s="40" t="s">
        <v>248</v>
      </c>
      <c r="N430" s="40"/>
      <c r="O430" s="250"/>
      <c r="Q430" s="34"/>
      <c r="R430" s="105" t="str">
        <f>IF(AND(ISNUMBER(K430),ISNUMBER(C430)),-K430*C430*C429,"")</f>
        <v/>
      </c>
      <c r="S430" s="98" t="s">
        <v>160</v>
      </c>
      <c r="T430" s="131" t="s">
        <v>348</v>
      </c>
      <c r="U430" s="35"/>
      <c r="V430" s="35"/>
      <c r="W430" s="35"/>
      <c r="X430" s="35"/>
      <c r="Y430" s="35"/>
      <c r="Z430" s="35"/>
      <c r="AA430" s="35"/>
      <c r="AB430" s="35"/>
      <c r="AC430" s="35"/>
      <c r="AD430" s="35"/>
      <c r="AE430" s="35"/>
      <c r="AF430" s="35"/>
      <c r="AG430" s="35"/>
      <c r="AH430" s="35"/>
      <c r="AI430" s="35"/>
      <c r="AJ430" s="35"/>
      <c r="AK430" s="36"/>
      <c r="AL430" s="36"/>
      <c r="AM430" s="36"/>
      <c r="AN430" s="36"/>
      <c r="AO430" s="36"/>
      <c r="AP430" s="36"/>
      <c r="AQ430" s="36"/>
      <c r="AR430" s="36"/>
      <c r="AS430" s="36"/>
      <c r="AT430" s="36"/>
      <c r="AU430" s="36"/>
      <c r="AV430" s="36"/>
      <c r="AW430" s="36"/>
      <c r="AX430" s="36"/>
      <c r="AY430" s="36"/>
      <c r="AZ430" s="36"/>
      <c r="BA430" s="36"/>
      <c r="BB430" s="36"/>
    </row>
    <row r="431" spans="1:54" s="30" customFormat="1" ht="15" x14ac:dyDescent="0.2">
      <c r="B431" s="166" t="s">
        <v>519</v>
      </c>
      <c r="C431" s="150"/>
      <c r="D431" s="81" t="str">
        <f t="shared" si="7"/>
        <v>%</v>
      </c>
      <c r="E431" s="33"/>
      <c r="F431" s="33"/>
      <c r="G431" s="33"/>
      <c r="H431" s="81"/>
      <c r="I431" s="81"/>
      <c r="J431" s="32" t="s">
        <v>512</v>
      </c>
      <c r="K431" s="92" t="str">
        <f>IF(ISNUMBER(L431),L431,"")</f>
        <v/>
      </c>
      <c r="L431" s="181"/>
      <c r="M431" s="40" t="s">
        <v>248</v>
      </c>
      <c r="N431" s="40"/>
      <c r="O431" s="250"/>
      <c r="Q431" s="34"/>
      <c r="R431" s="105" t="str">
        <f>IF(AND(ISNUMBER(K431),ISNUMBER(C431)),-K431*C431*C429,"")</f>
        <v/>
      </c>
      <c r="S431" s="98" t="s">
        <v>160</v>
      </c>
      <c r="T431" s="131" t="s">
        <v>348</v>
      </c>
      <c r="U431" s="35"/>
      <c r="V431" s="35"/>
      <c r="W431" s="35"/>
      <c r="X431" s="35"/>
      <c r="Y431" s="35"/>
      <c r="Z431" s="35"/>
      <c r="AA431" s="35"/>
      <c r="AB431" s="35"/>
      <c r="AC431" s="35"/>
      <c r="AD431" s="35"/>
      <c r="AE431" s="35"/>
      <c r="AF431" s="35"/>
      <c r="AG431" s="35"/>
      <c r="AH431" s="35"/>
      <c r="AI431" s="35"/>
      <c r="AJ431" s="35"/>
      <c r="AK431" s="36"/>
      <c r="AL431" s="36"/>
      <c r="AM431" s="36"/>
      <c r="AN431" s="36"/>
      <c r="AO431" s="36"/>
      <c r="AP431" s="36"/>
      <c r="AQ431" s="36"/>
      <c r="AR431" s="36"/>
      <c r="AS431" s="36"/>
      <c r="AT431" s="36"/>
      <c r="AU431" s="36"/>
      <c r="AV431" s="36"/>
      <c r="AW431" s="36"/>
      <c r="AX431" s="36"/>
      <c r="AY431" s="36"/>
      <c r="AZ431" s="36"/>
      <c r="BA431" s="36"/>
      <c r="BB431" s="36"/>
    </row>
    <row r="432" spans="1:54" s="30" customFormat="1" ht="15" x14ac:dyDescent="0.2">
      <c r="B432" s="359" t="s">
        <v>505</v>
      </c>
      <c r="C432" s="156"/>
      <c r="D432" s="81" t="s">
        <v>52</v>
      </c>
      <c r="G432" s="33"/>
      <c r="H432" s="81"/>
      <c r="I432" s="81"/>
      <c r="J432" s="32" t="s">
        <v>347</v>
      </c>
      <c r="K432" s="134">
        <f>IF(ISNUMBER(L432),L432,Muut!$F$31)</f>
        <v>33.857142857142854</v>
      </c>
      <c r="L432" s="61"/>
      <c r="M432" s="40" t="s">
        <v>248</v>
      </c>
      <c r="N432" s="40"/>
      <c r="O432" s="250"/>
      <c r="Q432" s="34"/>
      <c r="R432" s="105" t="str">
        <f>IF(AND(ISNUMBER(K432),ISNUMBER(C432)),K432*C432,"")</f>
        <v/>
      </c>
      <c r="S432" s="98" t="s">
        <v>160</v>
      </c>
      <c r="T432" s="35"/>
      <c r="U432" s="35"/>
      <c r="V432" s="35"/>
      <c r="W432" s="35"/>
      <c r="X432" s="35"/>
      <c r="Y432" s="35"/>
      <c r="Z432" s="35"/>
      <c r="AA432" s="35"/>
      <c r="AB432" s="35"/>
      <c r="AC432" s="35"/>
      <c r="AD432" s="35"/>
      <c r="AE432" s="35"/>
      <c r="AF432" s="35"/>
      <c r="AG432" s="35"/>
      <c r="AH432" s="35"/>
      <c r="AI432" s="35"/>
      <c r="AJ432" s="35"/>
      <c r="AK432" s="36"/>
      <c r="AL432" s="36"/>
      <c r="AM432" s="36"/>
      <c r="AN432" s="36"/>
      <c r="AO432" s="36"/>
      <c r="AP432" s="36"/>
      <c r="AQ432" s="36"/>
      <c r="AR432" s="36"/>
      <c r="AS432" s="36"/>
      <c r="AT432" s="36"/>
      <c r="AU432" s="36"/>
      <c r="AV432" s="36"/>
      <c r="AW432" s="36"/>
      <c r="AX432" s="36"/>
      <c r="AY432" s="36"/>
      <c r="AZ432" s="36"/>
      <c r="BA432" s="36"/>
      <c r="BB432" s="36"/>
    </row>
    <row r="433" spans="2:56" s="30" customFormat="1" ht="15" x14ac:dyDescent="0.2">
      <c r="B433" s="166" t="s">
        <v>520</v>
      </c>
      <c r="C433" s="150"/>
      <c r="D433" s="81" t="str">
        <f t="shared" ref="D433:D434" si="8">IF(ISBLANK(C433),"%","")</f>
        <v>%</v>
      </c>
      <c r="E433" s="33"/>
      <c r="F433" s="33"/>
      <c r="G433" s="33"/>
      <c r="H433" s="81"/>
      <c r="I433" s="81"/>
      <c r="J433" s="32" t="s">
        <v>508</v>
      </c>
      <c r="K433" s="92" t="str">
        <f>IF(ISNUMBER(L433),L433,"")</f>
        <v/>
      </c>
      <c r="L433" s="181"/>
      <c r="M433" s="40" t="s">
        <v>248</v>
      </c>
      <c r="N433" s="40"/>
      <c r="O433" s="250"/>
      <c r="Q433" s="34"/>
      <c r="R433" s="105" t="str">
        <f>IF(AND(ISNUMBER(K433),ISNUMBER(C433)),-K433*C433*C432,"")</f>
        <v/>
      </c>
      <c r="S433" s="98" t="s">
        <v>160</v>
      </c>
      <c r="T433" s="131" t="s">
        <v>348</v>
      </c>
      <c r="U433" s="35"/>
      <c r="V433" s="35"/>
      <c r="W433" s="35"/>
      <c r="X433" s="35"/>
      <c r="Y433" s="35"/>
      <c r="Z433" s="35"/>
      <c r="AA433" s="35"/>
      <c r="AB433" s="35"/>
      <c r="AC433" s="35"/>
      <c r="AD433" s="35"/>
      <c r="AE433" s="35"/>
      <c r="AF433" s="35"/>
      <c r="AG433" s="35"/>
      <c r="AH433" s="35"/>
      <c r="AI433" s="35"/>
      <c r="AJ433" s="35"/>
      <c r="AK433" s="36"/>
      <c r="AL433" s="36"/>
      <c r="AM433" s="36"/>
      <c r="AN433" s="36"/>
      <c r="AO433" s="36"/>
      <c r="AP433" s="36"/>
      <c r="AQ433" s="36"/>
      <c r="AR433" s="36"/>
      <c r="AS433" s="36"/>
      <c r="AT433" s="36"/>
      <c r="AU433" s="36"/>
      <c r="AV433" s="36"/>
      <c r="AW433" s="36"/>
      <c r="AX433" s="36"/>
      <c r="AY433" s="36"/>
      <c r="AZ433" s="36"/>
      <c r="BA433" s="36"/>
      <c r="BB433" s="36"/>
    </row>
    <row r="434" spans="2:56" s="30" customFormat="1" ht="15" x14ac:dyDescent="0.2">
      <c r="B434" s="166" t="s">
        <v>519</v>
      </c>
      <c r="C434" s="150"/>
      <c r="D434" s="81" t="str">
        <f t="shared" si="8"/>
        <v>%</v>
      </c>
      <c r="E434" s="33"/>
      <c r="F434" s="33"/>
      <c r="G434" s="33"/>
      <c r="H434" s="81"/>
      <c r="I434" s="81"/>
      <c r="J434" s="32" t="s">
        <v>512</v>
      </c>
      <c r="K434" s="92" t="str">
        <f>IF(ISNUMBER(L434),L434,"")</f>
        <v/>
      </c>
      <c r="L434" s="181"/>
      <c r="M434" s="40" t="s">
        <v>248</v>
      </c>
      <c r="N434" s="40"/>
      <c r="O434" s="250"/>
      <c r="Q434" s="34"/>
      <c r="R434" s="105" t="str">
        <f>IF(AND(ISNUMBER(K434),ISNUMBER(C434)),-K434*C434*C432,"")</f>
        <v/>
      </c>
      <c r="S434" s="98" t="s">
        <v>160</v>
      </c>
      <c r="T434" s="131" t="s">
        <v>348</v>
      </c>
      <c r="U434" s="35"/>
      <c r="V434" s="35"/>
      <c r="W434" s="35"/>
      <c r="X434" s="35"/>
      <c r="Y434" s="35"/>
      <c r="Z434" s="35"/>
      <c r="AA434" s="35"/>
      <c r="AB434" s="35"/>
      <c r="AC434" s="35"/>
      <c r="AD434" s="35"/>
      <c r="AE434" s="35"/>
      <c r="AF434" s="35"/>
      <c r="AG434" s="35"/>
      <c r="AH434" s="35"/>
      <c r="AI434" s="35"/>
      <c r="AJ434" s="35"/>
      <c r="AK434" s="36"/>
      <c r="AL434" s="36"/>
      <c r="AM434" s="36"/>
      <c r="AN434" s="36"/>
      <c r="AO434" s="36"/>
      <c r="AP434" s="36"/>
      <c r="AQ434" s="36"/>
      <c r="AR434" s="36"/>
      <c r="AS434" s="36"/>
      <c r="AT434" s="36"/>
      <c r="AU434" s="36"/>
      <c r="AV434" s="36"/>
      <c r="AW434" s="36"/>
      <c r="AX434" s="36"/>
      <c r="AY434" s="36"/>
      <c r="AZ434" s="36"/>
      <c r="BA434" s="36"/>
      <c r="BB434" s="36"/>
    </row>
    <row r="435" spans="2:56" s="30" customFormat="1" ht="15" x14ac:dyDescent="0.2">
      <c r="B435" s="359" t="s">
        <v>506</v>
      </c>
      <c r="C435" s="156"/>
      <c r="D435" s="81" t="s">
        <v>52</v>
      </c>
      <c r="G435" s="33"/>
      <c r="H435" s="81"/>
      <c r="I435" s="81"/>
      <c r="J435" s="32" t="s">
        <v>347</v>
      </c>
      <c r="K435" s="134">
        <f>IF(ISNUMBER(L435),L435,Muut!$F$31)</f>
        <v>33.857142857142854</v>
      </c>
      <c r="L435" s="61"/>
      <c r="M435" s="40" t="s">
        <v>248</v>
      </c>
      <c r="N435" s="40"/>
      <c r="O435" s="250"/>
      <c r="Q435" s="34"/>
      <c r="R435" s="105" t="str">
        <f>IF(AND(ISNUMBER(K435),ISNUMBER(C435)),K435*C435,"")</f>
        <v/>
      </c>
      <c r="S435" s="98" t="s">
        <v>160</v>
      </c>
      <c r="T435" s="35"/>
      <c r="U435" s="35"/>
      <c r="V435" s="35"/>
      <c r="W435" s="35"/>
      <c r="X435" s="35"/>
      <c r="Y435" s="35"/>
      <c r="Z435" s="35"/>
      <c r="AA435" s="35"/>
      <c r="AB435" s="35"/>
      <c r="AC435" s="35"/>
      <c r="AD435" s="35"/>
      <c r="AE435" s="35"/>
      <c r="AF435" s="35"/>
      <c r="AG435" s="35"/>
      <c r="AH435" s="35"/>
      <c r="AI435" s="35"/>
      <c r="AJ435" s="35"/>
      <c r="AK435" s="36"/>
      <c r="AL435" s="36"/>
      <c r="AM435" s="36"/>
      <c r="AN435" s="36"/>
      <c r="AO435" s="36"/>
      <c r="AP435" s="36"/>
      <c r="AQ435" s="36"/>
      <c r="AR435" s="36"/>
      <c r="AS435" s="36"/>
      <c r="AT435" s="36"/>
      <c r="AU435" s="36"/>
      <c r="AV435" s="36"/>
      <c r="AW435" s="36"/>
      <c r="AX435" s="36"/>
      <c r="AY435" s="36"/>
      <c r="AZ435" s="36"/>
      <c r="BA435" s="36"/>
      <c r="BB435" s="36"/>
    </row>
    <row r="436" spans="2:56" s="30" customFormat="1" ht="15" x14ac:dyDescent="0.2">
      <c r="B436" s="166" t="s">
        <v>520</v>
      </c>
      <c r="C436" s="150"/>
      <c r="D436" s="81" t="str">
        <f t="shared" ref="D436:D437" si="9">IF(ISBLANK(C436),"%","")</f>
        <v>%</v>
      </c>
      <c r="E436" s="33"/>
      <c r="F436" s="33"/>
      <c r="G436" s="33"/>
      <c r="H436" s="81"/>
      <c r="I436" s="81"/>
      <c r="J436" s="32" t="s">
        <v>508</v>
      </c>
      <c r="K436" s="92" t="str">
        <f>IF(ISNUMBER(L436),L436,"")</f>
        <v/>
      </c>
      <c r="L436" s="181"/>
      <c r="M436" s="40" t="s">
        <v>248</v>
      </c>
      <c r="N436" s="40"/>
      <c r="O436" s="250"/>
      <c r="Q436" s="34"/>
      <c r="R436" s="105" t="str">
        <f>IF(AND(ISNUMBER(K436),ISNUMBER(C436)),-K436*C436*C435,"")</f>
        <v/>
      </c>
      <c r="S436" s="98" t="s">
        <v>160</v>
      </c>
      <c r="T436" s="131" t="s">
        <v>348</v>
      </c>
      <c r="U436" s="35"/>
      <c r="V436" s="35"/>
      <c r="W436" s="35"/>
      <c r="X436" s="35"/>
      <c r="Y436" s="35"/>
      <c r="Z436" s="35"/>
      <c r="AA436" s="35"/>
      <c r="AB436" s="35"/>
      <c r="AC436" s="35"/>
      <c r="AD436" s="35"/>
      <c r="AE436" s="35"/>
      <c r="AF436" s="35"/>
      <c r="AG436" s="35"/>
      <c r="AH436" s="35"/>
      <c r="AI436" s="35"/>
      <c r="AJ436" s="35"/>
      <c r="AK436" s="36"/>
      <c r="AL436" s="36"/>
      <c r="AM436" s="36"/>
      <c r="AN436" s="36"/>
      <c r="AO436" s="36"/>
      <c r="AP436" s="36"/>
      <c r="AQ436" s="36"/>
      <c r="AR436" s="36"/>
      <c r="AS436" s="36"/>
      <c r="AT436" s="36"/>
      <c r="AU436" s="36"/>
      <c r="AV436" s="36"/>
      <c r="AW436" s="36"/>
      <c r="AX436" s="36"/>
      <c r="AY436" s="36"/>
      <c r="AZ436" s="36"/>
      <c r="BA436" s="36"/>
      <c r="BB436" s="36"/>
    </row>
    <row r="437" spans="2:56" s="30" customFormat="1" ht="15" x14ac:dyDescent="0.2">
      <c r="B437" s="166" t="s">
        <v>519</v>
      </c>
      <c r="C437" s="150"/>
      <c r="D437" s="81" t="str">
        <f t="shared" si="9"/>
        <v>%</v>
      </c>
      <c r="E437" s="33"/>
      <c r="F437" s="33"/>
      <c r="G437" s="33"/>
      <c r="H437" s="81"/>
      <c r="I437" s="81"/>
      <c r="J437" s="32" t="s">
        <v>512</v>
      </c>
      <c r="K437" s="92" t="str">
        <f>IF(ISNUMBER(L437),L437,"")</f>
        <v/>
      </c>
      <c r="L437" s="181"/>
      <c r="M437" s="40" t="s">
        <v>248</v>
      </c>
      <c r="N437" s="40"/>
      <c r="O437" s="250"/>
      <c r="Q437" s="34"/>
      <c r="R437" s="105" t="str">
        <f>IF(AND(ISNUMBER(K437),ISNUMBER(C437)),-K437*C437*C435,"")</f>
        <v/>
      </c>
      <c r="S437" s="98" t="s">
        <v>160</v>
      </c>
      <c r="T437" s="131" t="s">
        <v>348</v>
      </c>
      <c r="U437" s="35"/>
      <c r="V437" s="35"/>
      <c r="W437" s="35"/>
      <c r="X437" s="35"/>
      <c r="Y437" s="35"/>
      <c r="Z437" s="35"/>
      <c r="AA437" s="35"/>
      <c r="AB437" s="35"/>
      <c r="AC437" s="35"/>
      <c r="AD437" s="35"/>
      <c r="AE437" s="35"/>
      <c r="AF437" s="35"/>
      <c r="AG437" s="35"/>
      <c r="AH437" s="35"/>
      <c r="AI437" s="35"/>
      <c r="AJ437" s="35"/>
      <c r="AK437" s="36"/>
      <c r="AL437" s="36"/>
      <c r="AM437" s="36"/>
      <c r="AN437" s="36"/>
      <c r="AO437" s="36"/>
      <c r="AP437" s="36"/>
      <c r="AQ437" s="36"/>
      <c r="AR437" s="36"/>
      <c r="AS437" s="36"/>
      <c r="AT437" s="36"/>
      <c r="AU437" s="36"/>
      <c r="AV437" s="36"/>
      <c r="AW437" s="36"/>
      <c r="AX437" s="36"/>
      <c r="AY437" s="36"/>
      <c r="AZ437" s="36"/>
      <c r="BA437" s="36"/>
      <c r="BB437" s="36"/>
    </row>
    <row r="438" spans="2:56" s="30" customFormat="1" ht="15" x14ac:dyDescent="0.2">
      <c r="B438" s="359" t="s">
        <v>507</v>
      </c>
      <c r="C438" s="156"/>
      <c r="D438" s="81" t="s">
        <v>52</v>
      </c>
      <c r="G438" s="33"/>
      <c r="H438" s="81"/>
      <c r="I438" s="81"/>
      <c r="J438" s="32" t="s">
        <v>347</v>
      </c>
      <c r="K438" s="134">
        <f>IF(ISNUMBER(L438),L438,Muut!$F$31)</f>
        <v>33.857142857142854</v>
      </c>
      <c r="L438" s="61"/>
      <c r="M438" s="40" t="s">
        <v>248</v>
      </c>
      <c r="N438" s="40"/>
      <c r="O438" s="250"/>
      <c r="Q438" s="34"/>
      <c r="R438" s="105" t="str">
        <f>IF(AND(ISNUMBER(K438),ISNUMBER(C438)),K438*C438,"")</f>
        <v/>
      </c>
      <c r="S438" s="98" t="s">
        <v>160</v>
      </c>
      <c r="T438" s="35"/>
      <c r="U438" s="35"/>
      <c r="V438" s="35"/>
      <c r="W438" s="35"/>
      <c r="X438" s="35"/>
      <c r="Y438" s="35"/>
      <c r="Z438" s="35"/>
      <c r="AA438" s="35"/>
      <c r="AB438" s="35"/>
      <c r="AC438" s="35"/>
      <c r="AD438" s="35"/>
      <c r="AE438" s="35"/>
      <c r="AF438" s="35"/>
      <c r="AG438" s="35"/>
      <c r="AH438" s="35"/>
      <c r="AI438" s="35"/>
      <c r="AJ438" s="35"/>
      <c r="AK438" s="36"/>
      <c r="AL438" s="36"/>
      <c r="AM438" s="36"/>
      <c r="AN438" s="36"/>
      <c r="AO438" s="36"/>
      <c r="AP438" s="36"/>
      <c r="AQ438" s="36"/>
      <c r="AR438" s="36"/>
      <c r="AS438" s="36"/>
      <c r="AT438" s="36"/>
      <c r="AU438" s="36"/>
      <c r="AV438" s="36"/>
      <c r="AW438" s="36"/>
      <c r="AX438" s="36"/>
      <c r="AY438" s="36"/>
      <c r="AZ438" s="36"/>
      <c r="BA438" s="36"/>
      <c r="BB438" s="36"/>
    </row>
    <row r="439" spans="2:56" s="30" customFormat="1" ht="15" x14ac:dyDescent="0.2">
      <c r="B439" s="166" t="s">
        <v>520</v>
      </c>
      <c r="C439" s="150"/>
      <c r="D439" s="81" t="str">
        <f t="shared" ref="D439:D440" si="10">IF(ISBLANK(C439),"%","")</f>
        <v>%</v>
      </c>
      <c r="E439" s="33"/>
      <c r="F439" s="33"/>
      <c r="G439" s="33"/>
      <c r="H439" s="81"/>
      <c r="I439" s="81"/>
      <c r="J439" s="32" t="s">
        <v>508</v>
      </c>
      <c r="K439" s="92" t="str">
        <f>IF(ISNUMBER(L439),L439,"")</f>
        <v/>
      </c>
      <c r="L439" s="181"/>
      <c r="M439" s="40" t="s">
        <v>248</v>
      </c>
      <c r="N439" s="40"/>
      <c r="O439" s="250"/>
      <c r="Q439" s="34"/>
      <c r="R439" s="105" t="str">
        <f>IF(AND(ISNUMBER(K439),ISNUMBER(C439)),-K439*C439*C438,"")</f>
        <v/>
      </c>
      <c r="S439" s="98" t="s">
        <v>160</v>
      </c>
      <c r="T439" s="131" t="s">
        <v>348</v>
      </c>
      <c r="U439" s="35"/>
      <c r="V439" s="35"/>
      <c r="W439" s="35"/>
      <c r="X439" s="35"/>
      <c r="Y439" s="35"/>
      <c r="Z439" s="35"/>
      <c r="AA439" s="35"/>
      <c r="AB439" s="35"/>
      <c r="AC439" s="35"/>
      <c r="AD439" s="35"/>
      <c r="AE439" s="35"/>
      <c r="AF439" s="35"/>
      <c r="AG439" s="35"/>
      <c r="AH439" s="35"/>
      <c r="AI439" s="35"/>
      <c r="AJ439" s="35"/>
      <c r="AK439" s="36"/>
      <c r="AL439" s="36"/>
      <c r="AM439" s="36"/>
      <c r="AN439" s="36"/>
      <c r="AO439" s="36"/>
      <c r="AP439" s="36"/>
      <c r="AQ439" s="36"/>
      <c r="AR439" s="36"/>
      <c r="AS439" s="36"/>
      <c r="AT439" s="36"/>
      <c r="AU439" s="36"/>
      <c r="AV439" s="36"/>
      <c r="AW439" s="36"/>
      <c r="AX439" s="36"/>
      <c r="AY439" s="36"/>
      <c r="AZ439" s="36"/>
      <c r="BA439" s="36"/>
      <c r="BB439" s="36"/>
    </row>
    <row r="440" spans="2:56" s="30" customFormat="1" ht="15" x14ac:dyDescent="0.2">
      <c r="B440" s="166" t="s">
        <v>519</v>
      </c>
      <c r="C440" s="150"/>
      <c r="D440" s="81" t="str">
        <f t="shared" si="10"/>
        <v>%</v>
      </c>
      <c r="E440" s="33"/>
      <c r="F440" s="33"/>
      <c r="G440" s="33"/>
      <c r="H440" s="81"/>
      <c r="I440" s="81"/>
      <c r="J440" s="32" t="s">
        <v>512</v>
      </c>
      <c r="K440" s="92" t="str">
        <f>IF(ISNUMBER(L440),L440,"")</f>
        <v/>
      </c>
      <c r="L440" s="181"/>
      <c r="M440" s="40" t="s">
        <v>248</v>
      </c>
      <c r="N440" s="40"/>
      <c r="O440" s="250"/>
      <c r="Q440" s="34"/>
      <c r="R440" s="105" t="str">
        <f>IF(AND(ISNUMBER(K440),ISNUMBER(C440)),-K440*C440*C438,"")</f>
        <v/>
      </c>
      <c r="S440" s="98" t="s">
        <v>160</v>
      </c>
      <c r="T440" s="131" t="s">
        <v>348</v>
      </c>
      <c r="U440" s="35"/>
      <c r="V440" s="35"/>
      <c r="W440" s="35"/>
      <c r="X440" s="35"/>
      <c r="Y440" s="35"/>
      <c r="Z440" s="35"/>
      <c r="AA440" s="35"/>
      <c r="AB440" s="35"/>
      <c r="AC440" s="35"/>
      <c r="AD440" s="35"/>
      <c r="AE440" s="35"/>
      <c r="AF440" s="35"/>
      <c r="AG440" s="35"/>
      <c r="AH440" s="35"/>
      <c r="AI440" s="35"/>
      <c r="AJ440" s="35"/>
      <c r="AK440" s="36"/>
      <c r="AL440" s="36"/>
      <c r="AM440" s="36"/>
      <c r="AN440" s="36"/>
      <c r="AO440" s="36"/>
      <c r="AP440" s="36"/>
      <c r="AQ440" s="36"/>
      <c r="AR440" s="36"/>
      <c r="AS440" s="36"/>
      <c r="AT440" s="36"/>
      <c r="AU440" s="36"/>
      <c r="AV440" s="36"/>
      <c r="AW440" s="36"/>
      <c r="AX440" s="36"/>
      <c r="AY440" s="36"/>
      <c r="AZ440" s="36"/>
      <c r="BA440" s="36"/>
      <c r="BB440" s="36"/>
    </row>
    <row r="441" spans="2:56" s="30" customFormat="1" ht="15" x14ac:dyDescent="0.2">
      <c r="C441" s="33"/>
      <c r="D441" s="81"/>
      <c r="G441" s="33"/>
      <c r="H441" s="81"/>
      <c r="J441" s="32"/>
      <c r="K441" s="33"/>
      <c r="L441" s="33"/>
      <c r="M441" s="81"/>
      <c r="N441" s="81"/>
      <c r="O441" s="251"/>
      <c r="Q441" s="34"/>
      <c r="R441" s="35"/>
      <c r="S441" s="35"/>
      <c r="T441" s="35"/>
      <c r="U441" s="35"/>
      <c r="V441" s="35"/>
      <c r="W441" s="35"/>
      <c r="X441" s="35"/>
      <c r="Y441" s="35"/>
      <c r="Z441" s="35"/>
      <c r="AA441" s="35"/>
      <c r="AB441" s="35"/>
      <c r="AC441" s="35"/>
      <c r="AD441" s="35"/>
      <c r="AE441" s="35"/>
      <c r="AF441" s="35"/>
      <c r="AG441" s="35"/>
      <c r="AH441" s="35"/>
      <c r="AI441" s="35"/>
      <c r="AJ441" s="35"/>
      <c r="AK441" s="36"/>
      <c r="AL441" s="36"/>
      <c r="AM441" s="36"/>
      <c r="AN441" s="36"/>
      <c r="AO441" s="36"/>
      <c r="AP441" s="36"/>
      <c r="AQ441" s="36"/>
      <c r="AR441" s="36"/>
      <c r="AS441" s="36"/>
      <c r="AT441" s="36"/>
      <c r="AU441" s="36"/>
      <c r="AV441" s="36"/>
      <c r="AW441" s="36"/>
      <c r="AX441" s="36"/>
      <c r="AY441" s="36"/>
      <c r="AZ441" s="36"/>
      <c r="BA441" s="36"/>
      <c r="BB441" s="36"/>
    </row>
    <row r="442" spans="2:56" s="30" customFormat="1" ht="15.75" x14ac:dyDescent="0.2">
      <c r="B442" s="8" t="s">
        <v>11</v>
      </c>
      <c r="C442" s="33"/>
      <c r="D442" s="81"/>
      <c r="G442" s="33"/>
      <c r="H442" s="81"/>
      <c r="J442" s="32"/>
      <c r="K442" s="37"/>
      <c r="L442" s="37"/>
      <c r="M442" s="81"/>
      <c r="N442" s="81"/>
      <c r="O442" s="251"/>
      <c r="Q442" s="34"/>
      <c r="R442" s="35"/>
      <c r="S442" s="35"/>
      <c r="T442" s="35"/>
      <c r="U442" s="35"/>
      <c r="V442" s="35"/>
      <c r="W442" s="35"/>
      <c r="X442" s="35"/>
      <c r="Y442" s="35"/>
      <c r="Z442" s="35"/>
      <c r="AA442" s="35"/>
      <c r="AB442" s="35"/>
      <c r="AC442" s="35"/>
      <c r="AD442" s="35"/>
      <c r="AE442" s="35"/>
      <c r="AF442" s="35"/>
      <c r="AG442" s="35"/>
      <c r="AH442" s="35"/>
      <c r="AI442" s="35"/>
      <c r="AJ442" s="35"/>
      <c r="AK442" s="36"/>
      <c r="AL442" s="36"/>
      <c r="AM442" s="36"/>
      <c r="AN442" s="36"/>
      <c r="AO442" s="36"/>
      <c r="AP442" s="36"/>
      <c r="AQ442" s="36"/>
      <c r="AR442" s="36"/>
      <c r="AS442" s="36"/>
      <c r="AT442" s="36"/>
      <c r="AU442" s="36"/>
      <c r="AV442" s="36"/>
      <c r="AW442" s="36"/>
      <c r="AX442" s="36"/>
      <c r="AY442" s="36"/>
      <c r="AZ442" s="36"/>
      <c r="BA442" s="36"/>
      <c r="BB442" s="36"/>
    </row>
    <row r="443" spans="2:56" s="30" customFormat="1" ht="15.75" x14ac:dyDescent="0.2">
      <c r="B443" s="8"/>
      <c r="C443" s="33"/>
      <c r="D443" s="81"/>
      <c r="G443" s="33"/>
      <c r="H443" s="81"/>
      <c r="J443" s="32"/>
      <c r="K443" s="37" t="s">
        <v>297</v>
      </c>
      <c r="L443" s="37" t="s">
        <v>185</v>
      </c>
      <c r="M443" s="81"/>
      <c r="N443" s="81"/>
      <c r="O443" s="251"/>
      <c r="Q443" s="34"/>
      <c r="R443" s="35" t="s">
        <v>318</v>
      </c>
      <c r="S443" s="35"/>
      <c r="T443" s="35"/>
      <c r="U443" s="35"/>
      <c r="V443" s="35"/>
      <c r="W443" s="35"/>
      <c r="X443" s="35"/>
      <c r="Y443" s="35"/>
      <c r="Z443" s="35"/>
      <c r="AA443" s="35"/>
      <c r="AB443" s="35"/>
      <c r="AC443" s="35"/>
      <c r="AD443" s="35"/>
      <c r="AE443" s="35"/>
      <c r="AF443" s="35"/>
      <c r="AG443" s="35"/>
      <c r="AH443" s="35"/>
      <c r="AI443" s="35"/>
      <c r="AJ443" s="35"/>
      <c r="AK443" s="36"/>
      <c r="AL443" s="36"/>
      <c r="AM443" s="36"/>
      <c r="AN443" s="36"/>
      <c r="AO443" s="36"/>
      <c r="AP443" s="36"/>
      <c r="AQ443" s="36"/>
      <c r="AR443" s="36"/>
      <c r="AS443" s="36"/>
      <c r="AT443" s="36"/>
      <c r="AU443" s="36"/>
      <c r="AV443" s="36"/>
      <c r="AW443" s="36"/>
      <c r="AX443" s="36"/>
      <c r="AY443" s="36"/>
      <c r="AZ443" s="36"/>
      <c r="BA443" s="36"/>
      <c r="BB443" s="36"/>
    </row>
    <row r="444" spans="2:56" s="30" customFormat="1" ht="30" x14ac:dyDescent="0.2">
      <c r="B444" s="76" t="s">
        <v>543</v>
      </c>
      <c r="C444" s="156"/>
      <c r="D444" s="81" t="s">
        <v>163</v>
      </c>
      <c r="G444" s="33"/>
      <c r="H444" s="81"/>
      <c r="J444" s="32" t="s">
        <v>513</v>
      </c>
      <c r="K444" s="92">
        <f>IF(ISNUMBER(L444),L444,Muut!$F$29*IF(OR(C445=Pudotusvalikot!$V$3,C445=Pudotusvalikot!$V$4),Muut!$E$40,IF(C445=Pudotusvalikot!$V$5,Muut!$E$41,IF(C445=Pudotusvalikot!$V$6,Muut!$E$42,Muut!$E$43))))</f>
        <v>0.22753333333333334</v>
      </c>
      <c r="L444" s="61"/>
      <c r="M444" s="40" t="s">
        <v>207</v>
      </c>
      <c r="N444" s="40"/>
      <c r="O444" s="250"/>
      <c r="Q444" s="34"/>
      <c r="R444" s="105" t="str">
        <f>IF(AND(ISNUMBER(K444),ISNUMBER(C444)),K444*C444,"")</f>
        <v/>
      </c>
      <c r="S444" s="98" t="s">
        <v>160</v>
      </c>
      <c r="T444" s="59"/>
      <c r="U444" s="59"/>
      <c r="V444" s="59"/>
      <c r="W444" s="35"/>
      <c r="X444" s="35"/>
      <c r="Y444" s="35"/>
      <c r="Z444" s="35"/>
      <c r="AA444" s="35"/>
      <c r="AB444" s="35"/>
      <c r="AC444" s="35"/>
      <c r="AD444" s="35"/>
      <c r="AE444" s="35"/>
      <c r="AF444" s="35"/>
      <c r="AG444" s="35"/>
      <c r="AH444" s="35"/>
      <c r="AI444" s="35"/>
      <c r="AJ444" s="35"/>
      <c r="AK444" s="36"/>
      <c r="AL444" s="36"/>
      <c r="AM444" s="36"/>
      <c r="AN444" s="36"/>
      <c r="AO444" s="36"/>
      <c r="AP444" s="36"/>
      <c r="AQ444" s="36"/>
      <c r="AR444" s="36"/>
      <c r="AS444" s="36"/>
      <c r="AT444" s="36"/>
      <c r="AU444" s="36"/>
      <c r="AV444" s="36"/>
      <c r="AW444" s="36"/>
      <c r="AX444" s="36"/>
      <c r="AY444" s="36"/>
      <c r="AZ444" s="36"/>
      <c r="BA444" s="36"/>
      <c r="BB444" s="36"/>
    </row>
    <row r="445" spans="2:56" s="30" customFormat="1" ht="15" x14ac:dyDescent="0.2">
      <c r="B445" s="166" t="s">
        <v>460</v>
      </c>
      <c r="C445" s="156" t="s">
        <v>309</v>
      </c>
      <c r="D445" s="33"/>
      <c r="E445" s="33"/>
      <c r="F445" s="33"/>
      <c r="G445" s="33"/>
      <c r="H445" s="57"/>
      <c r="J445" s="169"/>
      <c r="K445" s="169"/>
      <c r="L445" s="169"/>
      <c r="M445" s="40"/>
      <c r="N445" s="40"/>
      <c r="O445" s="250"/>
      <c r="Q445" s="45"/>
      <c r="R445" s="59"/>
      <c r="S445" s="98"/>
      <c r="T445" s="35"/>
      <c r="U445" s="35"/>
      <c r="V445" s="177"/>
      <c r="W445" s="177"/>
      <c r="X445" s="59"/>
      <c r="Y445" s="35"/>
      <c r="Z445" s="59"/>
      <c r="AA445" s="178"/>
      <c r="AB445" s="59"/>
      <c r="AC445" s="59"/>
      <c r="AD445" s="59"/>
      <c r="AE445" s="59"/>
      <c r="AF445" s="178"/>
      <c r="AG445" s="59"/>
      <c r="AH445" s="104"/>
      <c r="AI445" s="35"/>
      <c r="AJ445" s="35"/>
      <c r="AK445" s="36"/>
      <c r="AL445" s="36"/>
      <c r="AM445" s="36"/>
      <c r="AN445" s="36"/>
      <c r="AO445" s="36"/>
      <c r="AP445" s="36"/>
      <c r="AQ445" s="36"/>
      <c r="AR445" s="36"/>
      <c r="AS445" s="36"/>
      <c r="AT445" s="36"/>
      <c r="AU445" s="36"/>
      <c r="AV445" s="36"/>
      <c r="AW445" s="36"/>
      <c r="AX445" s="36"/>
      <c r="AY445" s="36"/>
      <c r="AZ445" s="36"/>
      <c r="BA445" s="36"/>
      <c r="BB445" s="36"/>
    </row>
    <row r="446" spans="2:56" s="30" customFormat="1" ht="45" x14ac:dyDescent="0.2">
      <c r="B446" s="76" t="s">
        <v>544</v>
      </c>
      <c r="C446" s="156"/>
      <c r="D446" s="81" t="s">
        <v>163</v>
      </c>
      <c r="G446" s="33"/>
      <c r="H446" s="81"/>
      <c r="J446" s="32" t="s">
        <v>471</v>
      </c>
      <c r="K446" s="134">
        <f>IF(ISNUMBER(L446),L446,Muut!$F$30)</f>
        <v>9.4500000000000011</v>
      </c>
      <c r="L446" s="181"/>
      <c r="M446" s="40" t="s">
        <v>207</v>
      </c>
      <c r="N446" s="40"/>
      <c r="O446" s="250"/>
      <c r="Q446" s="34"/>
      <c r="R446" s="105" t="str">
        <f>IF(AND(ISNUMBER(K446),ISNUMBER(C446)),K446*C446,"")</f>
        <v/>
      </c>
      <c r="S446" s="98" t="s">
        <v>160</v>
      </c>
      <c r="T446" s="35"/>
      <c r="U446" s="35"/>
      <c r="V446" s="35"/>
      <c r="W446" s="35"/>
      <c r="X446" s="35"/>
      <c r="Y446" s="35"/>
      <c r="Z446" s="35"/>
      <c r="AA446" s="35"/>
      <c r="AB446" s="35"/>
      <c r="AC446" s="35"/>
      <c r="AD446" s="35"/>
      <c r="AE446" s="35"/>
      <c r="AF446" s="35"/>
      <c r="AG446" s="35"/>
      <c r="AH446" s="35"/>
      <c r="AI446" s="35"/>
      <c r="AJ446" s="35"/>
      <c r="AK446" s="36"/>
      <c r="AL446" s="36"/>
      <c r="AM446" s="36"/>
      <c r="AN446" s="36"/>
      <c r="AO446" s="36"/>
      <c r="AP446" s="36"/>
      <c r="AQ446" s="36"/>
      <c r="AR446" s="36"/>
      <c r="AS446" s="36"/>
      <c r="AT446" s="36"/>
      <c r="AU446" s="36"/>
      <c r="AV446" s="36"/>
      <c r="AW446" s="36"/>
      <c r="AX446" s="36"/>
      <c r="AY446" s="36"/>
      <c r="AZ446" s="36"/>
      <c r="BA446" s="36"/>
      <c r="BB446" s="36"/>
    </row>
    <row r="447" spans="2:56" s="30" customFormat="1" ht="15" x14ac:dyDescent="0.2">
      <c r="B447" s="166" t="s">
        <v>520</v>
      </c>
      <c r="C447" s="150"/>
      <c r="D447" s="81" t="str">
        <f>IF(ISBLANK(C447),"%","")</f>
        <v>%</v>
      </c>
      <c r="E447" s="33"/>
      <c r="F447" s="33"/>
      <c r="G447" s="33"/>
      <c r="H447" s="81"/>
      <c r="J447" s="32" t="s">
        <v>472</v>
      </c>
      <c r="K447" s="108">
        <f>IF(ISNUMBER(L447),L447,Muut!$F$32)</f>
        <v>9.4500000000000011</v>
      </c>
      <c r="L447" s="181"/>
      <c r="M447" s="40" t="s">
        <v>207</v>
      </c>
      <c r="N447" s="40"/>
      <c r="O447" s="250"/>
      <c r="Q447" s="34"/>
      <c r="R447" s="105" t="str">
        <f>IF(AND(ISNUMBER(K447),ISNUMBER(C447)),-K447*C446*C447,"")</f>
        <v/>
      </c>
      <c r="S447" s="98" t="s">
        <v>160</v>
      </c>
      <c r="T447" s="98" t="s">
        <v>473</v>
      </c>
      <c r="U447" s="35"/>
      <c r="V447" s="35"/>
      <c r="W447" s="35"/>
      <c r="X447" s="35"/>
      <c r="Y447" s="35"/>
      <c r="Z447" s="35"/>
      <c r="AA447" s="35"/>
      <c r="AB447" s="35"/>
      <c r="AC447" s="35"/>
      <c r="AD447" s="35"/>
      <c r="AE447" s="35"/>
      <c r="AF447" s="35"/>
      <c r="AG447" s="35"/>
      <c r="AH447" s="35"/>
      <c r="AI447" s="35"/>
      <c r="AJ447" s="35"/>
      <c r="AK447" s="36"/>
      <c r="AL447" s="36"/>
      <c r="AM447" s="36"/>
      <c r="AN447" s="36"/>
      <c r="AO447" s="36"/>
      <c r="AP447" s="36"/>
      <c r="AQ447" s="36"/>
      <c r="AR447" s="36"/>
      <c r="AS447" s="36"/>
      <c r="AT447" s="36"/>
      <c r="AU447" s="36"/>
      <c r="AV447" s="36"/>
      <c r="AW447" s="36"/>
      <c r="AX447" s="36"/>
      <c r="AY447" s="36"/>
      <c r="AZ447" s="36"/>
      <c r="BA447" s="36"/>
      <c r="BB447" s="36"/>
    </row>
    <row r="448" spans="2:56" s="30" customFormat="1" ht="15" x14ac:dyDescent="0.2">
      <c r="B448" s="73"/>
      <c r="C448" s="33"/>
      <c r="D448" s="81"/>
      <c r="G448" s="33"/>
      <c r="H448" s="81"/>
      <c r="J448" s="32"/>
      <c r="P448" s="67"/>
      <c r="Q448" s="104"/>
      <c r="R448" s="94"/>
      <c r="S448" s="104"/>
      <c r="T448" s="36"/>
      <c r="U448" s="35"/>
      <c r="V448" s="35"/>
      <c r="W448" s="35"/>
      <c r="X448" s="35"/>
      <c r="Y448" s="35"/>
      <c r="Z448" s="35"/>
      <c r="AA448" s="35"/>
      <c r="AB448" s="35"/>
      <c r="AC448" s="35"/>
      <c r="AD448" s="35"/>
      <c r="AE448" s="35"/>
      <c r="AF448" s="35"/>
      <c r="AG448" s="35"/>
      <c r="AH448" s="35"/>
      <c r="AI448" s="35"/>
      <c r="AJ448" s="35"/>
      <c r="AK448" s="35"/>
      <c r="AL448" s="35"/>
      <c r="AM448" s="36"/>
      <c r="AN448" s="36"/>
      <c r="AO448" s="36"/>
      <c r="AP448" s="36"/>
      <c r="AQ448" s="36"/>
      <c r="AR448" s="36"/>
      <c r="AS448" s="36"/>
      <c r="AT448" s="36"/>
      <c r="AU448" s="36"/>
      <c r="AV448" s="36"/>
      <c r="AW448" s="36"/>
      <c r="AX448" s="36"/>
      <c r="AY448" s="36"/>
      <c r="AZ448" s="36"/>
      <c r="BA448" s="36"/>
      <c r="BB448" s="36"/>
      <c r="BC448" s="54"/>
      <c r="BD448" s="54"/>
    </row>
    <row r="449" spans="1:56" s="192" customFormat="1" ht="23.25" x14ac:dyDescent="0.2">
      <c r="B449" s="193" t="s">
        <v>665</v>
      </c>
      <c r="C449" s="194"/>
      <c r="D449" s="195"/>
      <c r="G449" s="194"/>
      <c r="H449" s="195"/>
      <c r="J449" s="196"/>
      <c r="P449" s="197"/>
      <c r="Q449" s="198"/>
      <c r="R449" s="199"/>
      <c r="S449" s="198"/>
      <c r="T449" s="200"/>
      <c r="U449" s="201"/>
      <c r="V449" s="201"/>
      <c r="W449" s="201"/>
      <c r="X449" s="201"/>
      <c r="Y449" s="201"/>
      <c r="Z449" s="201"/>
      <c r="AA449" s="201"/>
      <c r="AB449" s="201"/>
      <c r="AC449" s="201"/>
      <c r="AD449" s="201"/>
      <c r="AE449" s="201"/>
      <c r="AF449" s="201"/>
      <c r="AG449" s="201"/>
      <c r="AH449" s="201"/>
      <c r="AI449" s="201"/>
      <c r="AJ449" s="201"/>
      <c r="AK449" s="201"/>
      <c r="AL449" s="201"/>
      <c r="AM449" s="200"/>
      <c r="AN449" s="200"/>
      <c r="AO449" s="200"/>
      <c r="AP449" s="200"/>
      <c r="AQ449" s="200"/>
      <c r="AR449" s="200"/>
      <c r="AS449" s="200"/>
      <c r="AT449" s="200"/>
      <c r="AU449" s="200"/>
      <c r="AV449" s="200"/>
      <c r="AW449" s="200"/>
      <c r="AX449" s="200"/>
      <c r="AY449" s="200"/>
      <c r="AZ449" s="200"/>
      <c r="BA449" s="200"/>
      <c r="BB449" s="200"/>
      <c r="BC449" s="387"/>
      <c r="BD449" s="387"/>
    </row>
    <row r="450" spans="1:56" s="30" customFormat="1" ht="15" x14ac:dyDescent="0.2">
      <c r="C450" s="33"/>
      <c r="D450" s="81"/>
      <c r="G450" s="33"/>
      <c r="H450" s="81"/>
      <c r="O450" s="167"/>
      <c r="P450" s="67"/>
      <c r="Q450" s="104"/>
      <c r="R450" s="94"/>
      <c r="S450" s="104"/>
      <c r="T450" s="36"/>
      <c r="U450" s="35"/>
      <c r="V450" s="35"/>
      <c r="W450" s="35"/>
      <c r="X450" s="35"/>
      <c r="Y450" s="35"/>
      <c r="Z450" s="35"/>
      <c r="AA450" s="35"/>
      <c r="AB450" s="35"/>
      <c r="AC450" s="35"/>
      <c r="AD450" s="35"/>
      <c r="AE450" s="35"/>
      <c r="AF450" s="35"/>
      <c r="AG450" s="35"/>
      <c r="AH450" s="35"/>
      <c r="AI450" s="35"/>
      <c r="AJ450" s="35"/>
      <c r="AK450" s="35"/>
      <c r="AL450" s="35"/>
      <c r="AM450" s="36"/>
      <c r="AN450" s="36"/>
      <c r="AO450" s="36"/>
      <c r="AP450" s="36"/>
      <c r="AQ450" s="36"/>
      <c r="AR450" s="36"/>
      <c r="AS450" s="36"/>
      <c r="AT450" s="36"/>
      <c r="AU450" s="36"/>
      <c r="AV450" s="36"/>
      <c r="AW450" s="36"/>
      <c r="AX450" s="36"/>
      <c r="AY450" s="36"/>
      <c r="AZ450" s="36"/>
      <c r="BA450" s="36"/>
      <c r="BB450" s="36"/>
      <c r="BC450" s="54"/>
      <c r="BD450" s="54"/>
    </row>
    <row r="451" spans="1:56" s="30" customFormat="1" ht="18" x14ac:dyDescent="0.2">
      <c r="A451" s="289"/>
      <c r="B451" s="286" t="s">
        <v>42</v>
      </c>
      <c r="C451" s="287"/>
      <c r="D451" s="288"/>
      <c r="E451" s="289"/>
      <c r="F451" s="289"/>
      <c r="G451" s="287"/>
      <c r="H451" s="288"/>
      <c r="I451" s="289"/>
      <c r="J451" s="289"/>
      <c r="K451" s="290"/>
      <c r="L451" s="290"/>
      <c r="M451" s="288"/>
      <c r="N451" s="288"/>
      <c r="O451" s="291"/>
      <c r="P451" s="289"/>
      <c r="Q451" s="292"/>
      <c r="R451" s="293" t="str">
        <f>IF(OR(ISNUMBER(#REF!),ISNUMBER(#REF!),ISNUMBER(#REF!)),SUM(#REF!,#REF!,#REF!),"")</f>
        <v/>
      </c>
      <c r="S451" s="294"/>
      <c r="T451" s="294"/>
      <c r="U451" s="294"/>
      <c r="V451" s="294"/>
      <c r="W451" s="294"/>
      <c r="X451" s="294"/>
      <c r="Y451" s="294"/>
      <c r="Z451" s="294"/>
      <c r="AA451" s="294"/>
      <c r="AB451" s="294"/>
      <c r="AC451" s="294"/>
      <c r="AD451" s="294"/>
      <c r="AE451" s="294"/>
      <c r="AF451" s="294"/>
      <c r="AG451" s="294"/>
      <c r="AH451" s="294"/>
      <c r="AI451" s="294"/>
      <c r="AJ451" s="294"/>
      <c r="AK451" s="295"/>
      <c r="AL451" s="295"/>
      <c r="AM451" s="295"/>
      <c r="AN451" s="295"/>
      <c r="AO451" s="295"/>
      <c r="AP451" s="295"/>
      <c r="AQ451" s="295"/>
      <c r="AR451" s="295"/>
      <c r="AS451" s="295"/>
      <c r="AT451" s="295"/>
      <c r="AU451" s="295"/>
      <c r="AV451" s="295"/>
      <c r="AW451" s="295"/>
      <c r="AX451" s="295"/>
      <c r="AY451" s="295"/>
      <c r="AZ451" s="295"/>
      <c r="BA451" s="295"/>
      <c r="BB451" s="295"/>
    </row>
    <row r="452" spans="1:56" s="30" customFormat="1" ht="15.75" x14ac:dyDescent="0.2">
      <c r="B452" s="8"/>
      <c r="C452" s="33"/>
      <c r="D452" s="81"/>
      <c r="G452" s="33" t="s">
        <v>43</v>
      </c>
      <c r="H452" s="81"/>
      <c r="K452" s="37" t="s">
        <v>297</v>
      </c>
      <c r="L452" s="37" t="s">
        <v>185</v>
      </c>
      <c r="M452" s="81"/>
      <c r="N452" s="81"/>
      <c r="O452" s="249" t="s">
        <v>584</v>
      </c>
      <c r="Q452" s="34"/>
      <c r="R452" s="35" t="s">
        <v>318</v>
      </c>
      <c r="S452" s="35"/>
      <c r="T452" s="35" t="s">
        <v>238</v>
      </c>
      <c r="U452" s="35" t="s">
        <v>239</v>
      </c>
      <c r="V452" s="35" t="s">
        <v>240</v>
      </c>
      <c r="W452" s="35" t="s">
        <v>243</v>
      </c>
      <c r="X452" s="35" t="s">
        <v>241</v>
      </c>
      <c r="Y452" s="35" t="s">
        <v>242</v>
      </c>
      <c r="Z452" s="35" t="s">
        <v>244</v>
      </c>
      <c r="AA452" s="104"/>
      <c r="AB452" s="35"/>
      <c r="AC452" s="35"/>
      <c r="AD452" s="35"/>
      <c r="AE452" s="35"/>
      <c r="AF452" s="35"/>
      <c r="AG452" s="35"/>
      <c r="AH452" s="35"/>
      <c r="AI452" s="35"/>
      <c r="AJ452" s="35"/>
      <c r="AK452" s="36"/>
      <c r="AL452" s="36"/>
      <c r="AM452" s="36"/>
      <c r="AN452" s="36"/>
      <c r="AO452" s="36"/>
      <c r="AP452" s="36"/>
      <c r="AQ452" s="36"/>
      <c r="AR452" s="36"/>
      <c r="AS452" s="36"/>
      <c r="AT452" s="36"/>
      <c r="AU452" s="36"/>
      <c r="AV452" s="36"/>
      <c r="AW452" s="36"/>
      <c r="AX452" s="36"/>
      <c r="AY452" s="36"/>
      <c r="AZ452" s="36"/>
      <c r="BA452" s="36"/>
      <c r="BB452" s="36"/>
    </row>
    <row r="453" spans="1:56" s="30" customFormat="1" ht="15" x14ac:dyDescent="0.2">
      <c r="B453" s="52" t="s">
        <v>526</v>
      </c>
      <c r="C453" s="156"/>
      <c r="D453" s="81" t="s">
        <v>215</v>
      </c>
      <c r="G453" s="156"/>
      <c r="H453" s="81" t="s">
        <v>44</v>
      </c>
      <c r="J453" s="32" t="s">
        <v>514</v>
      </c>
      <c r="K453" s="108" t="str">
        <f>IFERROR(IF(ISNUMBER(L453),L453,VLOOKUP(C455,Kalusto!$C$100:$E$105,3,FALSE)),"--")</f>
        <v>--</v>
      </c>
      <c r="L453" s="61"/>
      <c r="M453" s="75" t="str">
        <f>IF(C455=Pudotusvalikot!$J$9,"kWh/100 km",IF(C455=Pudotusvalikot!$J$6,"kg/100 km","l/100 km"))</f>
        <v>l/100 km</v>
      </c>
      <c r="N453" s="75"/>
      <c r="O453" s="250"/>
      <c r="Q453" s="34"/>
      <c r="R453" s="105">
        <f>SUM(U453:Z453)</f>
        <v>0</v>
      </c>
      <c r="S453" s="98" t="s">
        <v>160</v>
      </c>
      <c r="T453" s="46">
        <f>IF(ISNUMBER(C454*C453*G453),C454*C453*G453,"")</f>
        <v>0</v>
      </c>
      <c r="U453" s="48">
        <f>IF(ISNUMBER(T453),IF(C455=Pudotusvalikot!$J$5,(Muut!$F$16+Muut!$F$19)*(T453*K453/100),0),"")</f>
        <v>0</v>
      </c>
      <c r="V453" s="48">
        <f>IF(ISNUMBER(T453),IF(C455=Pudotusvalikot!$J$4,(Muut!$F$15+Muut!$F$18)*(T453*K453/100),0),"")</f>
        <v>0</v>
      </c>
      <c r="W453" s="48">
        <f>IF(ISNUMBER(T453),IF(C455=Pudotusvalikot!$J$6,(Muut!$F$17+Muut!$F$20)*(T453*K453/100),0),"")</f>
        <v>0</v>
      </c>
      <c r="X453" s="48">
        <f>IF(ISNUMBER(T453),IF(C455=Pudotusvalikot!$J$7,((Muut!$F$16+Muut!$F$19)*(100%-Kalusto!$O$103)+(Muut!$F$15+Muut!$F$18)*Kalusto!$O$103)*(T453*K453/100),0),"")</f>
        <v>0</v>
      </c>
      <c r="Y453" s="72">
        <f>IF(ISNUMBER(T453),IF(C455=Pudotusvalikot!$J$8,((Kalusto!$K$104)*(100%-Kalusto!$O$104)+(Kalusto!$M$104)*Kalusto!$O$104)*(Muut!$F$14+Muut!$F$13)/100*T453/1000+((Kalusto!$G$104)*(100%-Kalusto!$O$104)+(Kalusto!$I$104)*Kalusto!$O$104)*(K453+Muut!$F$19)/100*T453,0),"")</f>
        <v>0</v>
      </c>
      <c r="Z453" s="72">
        <f>IF(ISNUMBER(T453),IF(C455=Pudotusvalikot!$J$9,Kalusto!$E$105*(K453+Muut!$F$13)/100*T453/1000,0),"")</f>
        <v>0</v>
      </c>
      <c r="AA453" s="104"/>
      <c r="AB453" s="35"/>
      <c r="AC453" s="35"/>
      <c r="AD453" s="35"/>
      <c r="AE453" s="35"/>
      <c r="AF453" s="35"/>
      <c r="AG453" s="35"/>
      <c r="AH453" s="35"/>
      <c r="AI453" s="35"/>
      <c r="AJ453" s="35"/>
      <c r="AK453" s="36"/>
      <c r="AL453" s="36"/>
      <c r="AM453" s="36"/>
      <c r="AN453" s="36"/>
      <c r="AO453" s="36"/>
      <c r="AP453" s="36"/>
      <c r="AQ453" s="36"/>
      <c r="AR453" s="36"/>
      <c r="AS453" s="36"/>
      <c r="AT453" s="36"/>
      <c r="AU453" s="36"/>
      <c r="AV453" s="36"/>
      <c r="AW453" s="36"/>
      <c r="AX453" s="36"/>
      <c r="AY453" s="36"/>
      <c r="AZ453" s="36"/>
      <c r="BA453" s="36"/>
      <c r="BB453" s="36"/>
    </row>
    <row r="454" spans="1:56" s="30" customFormat="1" ht="15" x14ac:dyDescent="0.2">
      <c r="B454" s="52" t="s">
        <v>525</v>
      </c>
      <c r="C454" s="157"/>
      <c r="D454" s="81" t="s">
        <v>5</v>
      </c>
      <c r="G454" s="33"/>
      <c r="H454" s="81"/>
      <c r="J454" s="32"/>
      <c r="K454" s="33"/>
      <c r="L454" s="33"/>
      <c r="M454" s="81"/>
      <c r="N454" s="81"/>
      <c r="O454" s="251"/>
      <c r="Q454" s="34"/>
      <c r="R454" s="95"/>
      <c r="S454" s="35"/>
      <c r="T454" s="35"/>
      <c r="U454" s="35"/>
      <c r="V454" s="35"/>
      <c r="W454" s="35"/>
      <c r="X454" s="35"/>
      <c r="Y454" s="35"/>
      <c r="Z454" s="35"/>
      <c r="AA454" s="35"/>
      <c r="AB454" s="35"/>
      <c r="AC454" s="35"/>
      <c r="AD454" s="35"/>
      <c r="AE454" s="35"/>
      <c r="AF454" s="35"/>
      <c r="AG454" s="35"/>
      <c r="AH454" s="35"/>
      <c r="AI454" s="35"/>
      <c r="AJ454" s="35"/>
      <c r="AK454" s="36"/>
      <c r="AL454" s="36"/>
      <c r="AM454" s="36"/>
      <c r="AN454" s="36"/>
      <c r="AO454" s="36"/>
      <c r="AP454" s="36"/>
      <c r="AQ454" s="36"/>
      <c r="AR454" s="36"/>
      <c r="AS454" s="36"/>
      <c r="AT454" s="36"/>
      <c r="AU454" s="36"/>
      <c r="AV454" s="36"/>
      <c r="AW454" s="36"/>
      <c r="AX454" s="36"/>
      <c r="AY454" s="36"/>
      <c r="AZ454" s="36"/>
      <c r="BA454" s="36"/>
      <c r="BB454" s="36"/>
    </row>
    <row r="455" spans="1:56" s="30" customFormat="1" ht="15" x14ac:dyDescent="0.2">
      <c r="B455" s="52" t="s">
        <v>524</v>
      </c>
      <c r="C455" s="474" t="s">
        <v>309</v>
      </c>
      <c r="D455" s="474"/>
      <c r="G455" s="33"/>
      <c r="H455" s="81"/>
      <c r="J455" s="32"/>
      <c r="K455" s="33"/>
      <c r="L455" s="33"/>
      <c r="M455" s="81"/>
      <c r="N455" s="81"/>
      <c r="O455" s="251"/>
      <c r="Q455" s="34"/>
      <c r="R455" s="95"/>
      <c r="S455" s="35"/>
      <c r="T455" s="35"/>
      <c r="U455" s="35"/>
      <c r="V455" s="35"/>
      <c r="W455" s="35"/>
      <c r="X455" s="35"/>
      <c r="Y455" s="35"/>
      <c r="Z455" s="35"/>
      <c r="AA455" s="35"/>
      <c r="AB455" s="35"/>
      <c r="AC455" s="35"/>
      <c r="AD455" s="35"/>
      <c r="AE455" s="35"/>
      <c r="AF455" s="35"/>
      <c r="AG455" s="35"/>
      <c r="AH455" s="35"/>
      <c r="AI455" s="35"/>
      <c r="AJ455" s="35"/>
      <c r="AK455" s="36"/>
      <c r="AL455" s="36"/>
      <c r="AM455" s="36"/>
      <c r="AN455" s="36"/>
      <c r="AO455" s="36"/>
      <c r="AP455" s="36"/>
      <c r="AQ455" s="36"/>
      <c r="AR455" s="36"/>
      <c r="AS455" s="36"/>
      <c r="AT455" s="36"/>
      <c r="AU455" s="36"/>
      <c r="AV455" s="36"/>
      <c r="AW455" s="36"/>
      <c r="AX455" s="36"/>
      <c r="AY455" s="36"/>
      <c r="AZ455" s="36"/>
      <c r="BA455" s="36"/>
      <c r="BB455" s="36"/>
    </row>
    <row r="456" spans="1:56" s="30" customFormat="1" ht="15" x14ac:dyDescent="0.2">
      <c r="B456" s="52"/>
      <c r="C456" s="33"/>
      <c r="D456" s="33"/>
      <c r="G456" s="33"/>
      <c r="H456" s="81"/>
      <c r="J456" s="32"/>
      <c r="K456" s="33"/>
      <c r="L456" s="33"/>
      <c r="M456" s="81"/>
      <c r="N456" s="81"/>
      <c r="O456" s="249"/>
      <c r="Q456" s="34"/>
      <c r="R456" s="95"/>
      <c r="S456" s="35"/>
      <c r="T456" s="35"/>
      <c r="U456" s="35"/>
      <c r="V456" s="35"/>
      <c r="W456" s="35"/>
      <c r="X456" s="35"/>
      <c r="Y456" s="35"/>
      <c r="Z456" s="35"/>
      <c r="AA456" s="35"/>
      <c r="AB456" s="35"/>
      <c r="AC456" s="35"/>
      <c r="AD456" s="35"/>
      <c r="AE456" s="35"/>
      <c r="AF456" s="35"/>
      <c r="AG456" s="35"/>
      <c r="AH456" s="35"/>
      <c r="AI456" s="35"/>
      <c r="AJ456" s="35"/>
      <c r="AK456" s="36"/>
      <c r="AL456" s="36"/>
      <c r="AM456" s="36"/>
      <c r="AN456" s="36"/>
      <c r="AO456" s="36"/>
      <c r="AP456" s="36"/>
      <c r="AQ456" s="36"/>
      <c r="AR456" s="36"/>
      <c r="AS456" s="36"/>
      <c r="AT456" s="36"/>
      <c r="AU456" s="36"/>
      <c r="AV456" s="36"/>
      <c r="AW456" s="36"/>
      <c r="AX456" s="36"/>
      <c r="AY456" s="36"/>
      <c r="AZ456" s="36"/>
      <c r="BA456" s="36"/>
      <c r="BB456" s="36"/>
    </row>
    <row r="457" spans="1:56" ht="19.5" hidden="1" customHeight="1" x14ac:dyDescent="0.2"/>
    <row r="458" spans="1:56" ht="19.5" hidden="1" customHeight="1" x14ac:dyDescent="0.2"/>
    <row r="459" spans="1:56" ht="19.5" hidden="1" customHeight="1" x14ac:dyDescent="0.2"/>
    <row r="460" spans="1:56" ht="19.5" hidden="1" customHeight="1" x14ac:dyDescent="0.2"/>
    <row r="461" spans="1:56" ht="19.5" hidden="1" customHeight="1" x14ac:dyDescent="0.2"/>
    <row r="462" spans="1:56" ht="19.5" hidden="1" customHeight="1" x14ac:dyDescent="0.2"/>
    <row r="463" spans="1:56" ht="19.5" hidden="1" customHeight="1" x14ac:dyDescent="0.2"/>
    <row r="464" spans="1:56" ht="19.5" hidden="1" customHeight="1" x14ac:dyDescent="0.2"/>
    <row r="465" spans="11:56" ht="19.5" hidden="1" customHeight="1" x14ac:dyDescent="0.2"/>
    <row r="466" spans="11:56" ht="19.5" hidden="1" customHeight="1" x14ac:dyDescent="0.2"/>
    <row r="467" spans="11:56" ht="19.5" hidden="1" customHeight="1" x14ac:dyDescent="0.2"/>
    <row r="468" spans="11:56" ht="19.5" hidden="1" customHeight="1" x14ac:dyDescent="0.2"/>
    <row r="469" spans="11:56" ht="13.9" customHeight="1" x14ac:dyDescent="0.2">
      <c r="K469" s="12"/>
      <c r="L469" s="12"/>
      <c r="M469" s="84"/>
      <c r="N469" s="84"/>
      <c r="O469" s="84"/>
      <c r="P469" s="5"/>
      <c r="Q469" s="23"/>
      <c r="R469" s="361" t="s">
        <v>314</v>
      </c>
      <c r="S469" s="21"/>
      <c r="T469" s="227"/>
      <c r="U469" s="228"/>
      <c r="V469" s="228"/>
      <c r="W469" s="228"/>
      <c r="X469" s="228"/>
      <c r="Y469" s="228"/>
      <c r="Z469" s="228"/>
      <c r="AA469" s="228"/>
      <c r="AB469" s="228"/>
      <c r="AC469" s="228"/>
      <c r="AD469" s="228"/>
      <c r="AK469" s="22"/>
      <c r="AL469" s="22"/>
      <c r="BC469" s="5"/>
      <c r="BD469" s="5"/>
    </row>
    <row r="470" spans="11:56" ht="13.9" customHeight="1" x14ac:dyDescent="0.2">
      <c r="K470" s="12"/>
      <c r="L470" s="12"/>
      <c r="M470" s="84"/>
      <c r="N470" s="84"/>
      <c r="O470" s="84"/>
      <c r="P470" s="5"/>
      <c r="Q470" s="23"/>
      <c r="R470" s="238"/>
      <c r="S470" s="361" t="s">
        <v>608</v>
      </c>
      <c r="T470" s="227"/>
      <c r="U470" s="228"/>
      <c r="V470" s="228"/>
      <c r="W470" s="228"/>
      <c r="X470" s="228"/>
      <c r="Y470" s="228" t="s">
        <v>160</v>
      </c>
      <c r="Z470" s="228" t="s">
        <v>596</v>
      </c>
      <c r="AA470" s="228"/>
      <c r="AB470" s="228"/>
      <c r="AC470" s="228"/>
      <c r="AD470" s="228"/>
      <c r="AK470" s="22"/>
      <c r="AL470" s="22"/>
      <c r="BC470" s="5"/>
      <c r="BD470" s="5"/>
    </row>
    <row r="471" spans="11:56" ht="13.9" customHeight="1" x14ac:dyDescent="0.2">
      <c r="K471" s="12"/>
      <c r="L471" s="12"/>
      <c r="M471" s="84"/>
      <c r="N471" s="84"/>
      <c r="O471" s="84"/>
      <c r="P471" s="5"/>
      <c r="Q471" s="23"/>
      <c r="R471" s="238"/>
      <c r="S471" s="279" t="str">
        <f>B8</f>
        <v>Työssä tarvittavien työkoneiden ja muun työmaakaluston kuljetus alueelle sekä niiden kuljetus alueelta pois käsittelyn päättyessä</v>
      </c>
      <c r="T471" s="280"/>
      <c r="U471" s="281"/>
      <c r="V471" s="281"/>
      <c r="W471" s="281" t="s">
        <v>662</v>
      </c>
      <c r="X471" s="281" t="s">
        <v>612</v>
      </c>
      <c r="Y471" s="282">
        <f>SUM(Y472,Y475)</f>
        <v>0</v>
      </c>
      <c r="Z471" s="283" t="str">
        <f t="shared" ref="Z471:Z503" si="11">IF(ISERROR(Y471/Y$525),"--",Y471/Y$525)</f>
        <v>--</v>
      </c>
      <c r="AA471" s="228"/>
      <c r="AB471" s="228"/>
      <c r="AC471" s="228"/>
      <c r="AD471" s="228"/>
      <c r="AK471" s="22"/>
      <c r="AL471" s="22"/>
      <c r="BC471" s="5"/>
      <c r="BD471" s="5"/>
    </row>
    <row r="472" spans="11:56" ht="13.9" customHeight="1" x14ac:dyDescent="0.2">
      <c r="K472" s="12"/>
      <c r="L472" s="12"/>
      <c r="M472" s="84"/>
      <c r="N472" s="84"/>
      <c r="O472" s="84"/>
      <c r="P472" s="5"/>
      <c r="Q472" s="23"/>
      <c r="R472" s="238"/>
      <c r="S472" s="207" t="s">
        <v>569</v>
      </c>
      <c r="T472" s="228"/>
      <c r="U472" s="228"/>
      <c r="V472" s="228"/>
      <c r="W472" s="228" t="s">
        <v>662</v>
      </c>
      <c r="X472" s="228" t="s">
        <v>316</v>
      </c>
      <c r="Y472" s="229">
        <f>SUM(Y473:Y474)</f>
        <v>0</v>
      </c>
      <c r="Z472" s="277" t="str">
        <f t="shared" si="11"/>
        <v>--</v>
      </c>
      <c r="AA472" s="228"/>
      <c r="AB472" s="228"/>
      <c r="AC472" s="228"/>
      <c r="AD472" s="228"/>
      <c r="AK472" s="22"/>
      <c r="AL472" s="22"/>
      <c r="BC472" s="5"/>
      <c r="BD472" s="5"/>
    </row>
    <row r="473" spans="11:56" ht="13.9" customHeight="1" x14ac:dyDescent="0.2">
      <c r="K473" s="12"/>
      <c r="L473" s="12"/>
      <c r="M473" s="84"/>
      <c r="N473" s="84"/>
      <c r="O473" s="84"/>
      <c r="P473" s="5"/>
      <c r="Q473" s="23"/>
      <c r="R473" s="238"/>
      <c r="S473" s="246" t="s">
        <v>40</v>
      </c>
      <c r="T473" s="228"/>
      <c r="U473" s="228"/>
      <c r="V473" s="228"/>
      <c r="W473" s="228" t="s">
        <v>40</v>
      </c>
      <c r="X473" s="228"/>
      <c r="Y473" s="229">
        <f>SUM(AB11,AB16,AB21)</f>
        <v>0</v>
      </c>
      <c r="Z473" s="277" t="str">
        <f t="shared" si="11"/>
        <v>--</v>
      </c>
      <c r="AA473" s="228"/>
      <c r="AB473" s="228"/>
      <c r="AC473" s="228"/>
      <c r="AD473" s="228"/>
      <c r="AK473" s="22"/>
      <c r="AL473" s="22"/>
      <c r="BC473" s="5"/>
      <c r="BD473" s="5"/>
    </row>
    <row r="474" spans="11:56" ht="13.9" customHeight="1" x14ac:dyDescent="0.2">
      <c r="K474" s="12"/>
      <c r="L474" s="12"/>
      <c r="M474" s="84"/>
      <c r="N474" s="84"/>
      <c r="O474" s="84"/>
      <c r="P474" s="5"/>
      <c r="Q474" s="23"/>
      <c r="R474" s="238"/>
      <c r="S474" s="246" t="s">
        <v>577</v>
      </c>
      <c r="T474" s="228"/>
      <c r="U474" s="228"/>
      <c r="V474" s="228"/>
      <c r="W474" s="228" t="s">
        <v>40</v>
      </c>
      <c r="X474" s="228"/>
      <c r="Y474" s="229">
        <f>SUM(AG21,AG16,AG11)</f>
        <v>0</v>
      </c>
      <c r="Z474" s="277" t="str">
        <f t="shared" si="11"/>
        <v>--</v>
      </c>
      <c r="AA474" s="228"/>
      <c r="AB474" s="228"/>
      <c r="AC474" s="228"/>
      <c r="AD474" s="228"/>
      <c r="AK474" s="22"/>
      <c r="AL474" s="22"/>
      <c r="BC474" s="5"/>
      <c r="BD474" s="5"/>
    </row>
    <row r="475" spans="11:56" ht="13.9" customHeight="1" x14ac:dyDescent="0.2">
      <c r="K475" s="12"/>
      <c r="L475" s="12"/>
      <c r="M475" s="84"/>
      <c r="N475" s="84"/>
      <c r="O475" s="84"/>
      <c r="P475" s="5"/>
      <c r="Q475" s="23"/>
      <c r="R475" s="238"/>
      <c r="S475" s="207" t="s">
        <v>570</v>
      </c>
      <c r="T475" s="228"/>
      <c r="U475" s="228"/>
      <c r="V475" s="228"/>
      <c r="W475" s="228" t="s">
        <v>662</v>
      </c>
      <c r="X475" s="228" t="s">
        <v>350</v>
      </c>
      <c r="Y475" s="229">
        <f>SUM(Y476:Y477)</f>
        <v>0</v>
      </c>
      <c r="Z475" s="277" t="str">
        <f t="shared" si="11"/>
        <v>--</v>
      </c>
      <c r="AA475" s="228"/>
      <c r="AB475" s="228"/>
      <c r="AC475" s="228"/>
      <c r="AD475" s="228"/>
      <c r="AK475" s="22"/>
      <c r="AL475" s="22"/>
      <c r="BC475" s="5"/>
      <c r="BD475" s="5"/>
    </row>
    <row r="476" spans="11:56" ht="13.9" customHeight="1" x14ac:dyDescent="0.2">
      <c r="K476" s="12"/>
      <c r="L476" s="12"/>
      <c r="M476" s="84"/>
      <c r="N476" s="84"/>
      <c r="O476" s="84"/>
      <c r="P476" s="5"/>
      <c r="Q476" s="23"/>
      <c r="R476" s="238"/>
      <c r="S476" s="246" t="s">
        <v>40</v>
      </c>
      <c r="T476" s="228"/>
      <c r="U476" s="228"/>
      <c r="V476" s="228"/>
      <c r="W476" s="228" t="s">
        <v>40</v>
      </c>
      <c r="X476" s="228"/>
      <c r="Y476" s="229">
        <f>SUM(AB11,AB16,AB21)</f>
        <v>0</v>
      </c>
      <c r="Z476" s="277" t="str">
        <f t="shared" si="11"/>
        <v>--</v>
      </c>
      <c r="AA476" s="228"/>
      <c r="AB476" s="228"/>
      <c r="AC476" s="228"/>
      <c r="AD476" s="228"/>
      <c r="AK476" s="22"/>
      <c r="AL476" s="22"/>
      <c r="BC476" s="5"/>
      <c r="BD476" s="5"/>
    </row>
    <row r="477" spans="11:56" ht="13.9" customHeight="1" x14ac:dyDescent="0.2">
      <c r="K477" s="12"/>
      <c r="L477" s="12"/>
      <c r="M477" s="84"/>
      <c r="N477" s="84"/>
      <c r="O477" s="84"/>
      <c r="P477" s="5"/>
      <c r="Q477" s="23"/>
      <c r="R477" s="238"/>
      <c r="S477" s="246" t="s">
        <v>577</v>
      </c>
      <c r="T477" s="228"/>
      <c r="U477" s="228"/>
      <c r="V477" s="228"/>
      <c r="W477" s="228" t="s">
        <v>40</v>
      </c>
      <c r="X477" s="228"/>
      <c r="Y477" s="229">
        <f>SUM(AG21,AG16,AG11)</f>
        <v>0</v>
      </c>
      <c r="Z477" s="277" t="str">
        <f t="shared" si="11"/>
        <v>--</v>
      </c>
      <c r="AA477" s="228"/>
      <c r="AB477" s="228"/>
      <c r="AC477" s="228"/>
      <c r="AD477" s="228"/>
      <c r="AK477" s="22"/>
      <c r="AL477" s="22"/>
      <c r="BC477" s="5"/>
      <c r="BD477" s="5"/>
    </row>
    <row r="478" spans="11:56" ht="13.9" customHeight="1" x14ac:dyDescent="0.2">
      <c r="K478" s="12"/>
      <c r="L478" s="12"/>
      <c r="M478" s="84"/>
      <c r="N478" s="84"/>
      <c r="O478" s="84"/>
      <c r="P478" s="5"/>
      <c r="Q478" s="23"/>
      <c r="R478" s="238"/>
      <c r="S478" s="279" t="str">
        <f>B28</f>
        <v>Työtä varten tehtävät puuston, asfalttipintojen  tai rakenteiden poisto</v>
      </c>
      <c r="T478" s="280"/>
      <c r="U478" s="281"/>
      <c r="V478" s="281"/>
      <c r="W478" s="281" t="s">
        <v>663</v>
      </c>
      <c r="X478" s="281" t="s">
        <v>316</v>
      </c>
      <c r="Y478" s="282">
        <f>SUM(Y479,Y480,Y481)</f>
        <v>0</v>
      </c>
      <c r="Z478" s="283" t="str">
        <f t="shared" si="11"/>
        <v>--</v>
      </c>
      <c r="AA478" s="228"/>
      <c r="AB478" s="228"/>
      <c r="AC478" s="228"/>
      <c r="AD478" s="228"/>
      <c r="AK478" s="22"/>
      <c r="AL478" s="22"/>
      <c r="BC478" s="5"/>
      <c r="BD478" s="5"/>
    </row>
    <row r="479" spans="11:56" ht="13.9" customHeight="1" x14ac:dyDescent="0.2">
      <c r="K479" s="12"/>
      <c r="L479" s="12"/>
      <c r="M479" s="84"/>
      <c r="N479" s="84"/>
      <c r="O479" s="84"/>
      <c r="P479" s="5"/>
      <c r="Q479" s="23"/>
      <c r="R479" s="238"/>
      <c r="S479" s="207" t="s">
        <v>574</v>
      </c>
      <c r="T479" s="228"/>
      <c r="U479" s="228"/>
      <c r="V479" s="228"/>
      <c r="W479" s="228" t="s">
        <v>595</v>
      </c>
      <c r="X479" s="228" t="s">
        <v>316</v>
      </c>
      <c r="Y479" s="229">
        <f>SUM(R31)</f>
        <v>0</v>
      </c>
      <c r="Z479" s="277" t="str">
        <f t="shared" si="11"/>
        <v>--</v>
      </c>
      <c r="AA479" s="228"/>
      <c r="AB479" s="228"/>
      <c r="AC479" s="228"/>
      <c r="AD479" s="228"/>
      <c r="AK479" s="22"/>
      <c r="AL479" s="22"/>
      <c r="BC479" s="5"/>
      <c r="BD479" s="5"/>
    </row>
    <row r="480" spans="11:56" ht="13.9" customHeight="1" x14ac:dyDescent="0.2">
      <c r="K480" s="12"/>
      <c r="L480" s="12"/>
      <c r="M480" s="84"/>
      <c r="N480" s="84"/>
      <c r="O480" s="84"/>
      <c r="P480" s="5"/>
      <c r="Q480" s="23"/>
      <c r="R480" s="238"/>
      <c r="S480" s="207" t="s">
        <v>571</v>
      </c>
      <c r="T480" s="228"/>
      <c r="U480" s="228"/>
      <c r="V480" s="228"/>
      <c r="W480" s="228" t="s">
        <v>595</v>
      </c>
      <c r="X480" s="228" t="s">
        <v>316</v>
      </c>
      <c r="Y480" s="229">
        <f>SUM(R32)</f>
        <v>0</v>
      </c>
      <c r="Z480" s="277" t="str">
        <f t="shared" si="11"/>
        <v>--</v>
      </c>
      <c r="AA480" s="228"/>
      <c r="AB480" s="228"/>
      <c r="AC480" s="228"/>
      <c r="AD480" s="228"/>
      <c r="AK480" s="22"/>
      <c r="AL480" s="22"/>
      <c r="BC480" s="5"/>
      <c r="BD480" s="5"/>
    </row>
    <row r="481" spans="11:56" ht="13.9" customHeight="1" x14ac:dyDescent="0.2">
      <c r="K481" s="12"/>
      <c r="L481" s="12"/>
      <c r="M481" s="84"/>
      <c r="N481" s="84"/>
      <c r="O481" s="84"/>
      <c r="P481" s="5"/>
      <c r="Q481" s="23"/>
      <c r="R481" s="238"/>
      <c r="S481" s="207" t="s">
        <v>55</v>
      </c>
      <c r="T481" s="228"/>
      <c r="U481" s="228"/>
      <c r="V481" s="228"/>
      <c r="W481" s="228" t="s">
        <v>595</v>
      </c>
      <c r="X481" s="228" t="s">
        <v>316</v>
      </c>
      <c r="Y481" s="229">
        <f>SUM(R34)</f>
        <v>0</v>
      </c>
      <c r="Z481" s="277" t="str">
        <f t="shared" si="11"/>
        <v>--</v>
      </c>
      <c r="AA481" s="228"/>
      <c r="AB481" s="228"/>
      <c r="AC481" s="228"/>
      <c r="AD481" s="228"/>
      <c r="AK481" s="22"/>
      <c r="AL481" s="22"/>
      <c r="BC481" s="5"/>
      <c r="BD481" s="5"/>
    </row>
    <row r="482" spans="11:56" ht="13.9" customHeight="1" x14ac:dyDescent="0.2">
      <c r="K482" s="12"/>
      <c r="L482" s="12"/>
      <c r="M482" s="84"/>
      <c r="N482" s="84"/>
      <c r="O482" s="84"/>
      <c r="P482" s="5"/>
      <c r="Q482" s="23"/>
      <c r="R482" s="238"/>
      <c r="S482" s="279" t="str">
        <f>B37</f>
        <v>Maa-ainesten poisto ja muu kaivu</v>
      </c>
      <c r="T482" s="280"/>
      <c r="U482" s="281"/>
      <c r="V482" s="281"/>
      <c r="W482" s="281" t="s">
        <v>595</v>
      </c>
      <c r="X482" s="281" t="s">
        <v>575</v>
      </c>
      <c r="Y482" s="282">
        <f>SUM(R39)</f>
        <v>0</v>
      </c>
      <c r="Z482" s="283" t="str">
        <f t="shared" si="11"/>
        <v>--</v>
      </c>
      <c r="AA482" s="228"/>
      <c r="AB482" s="228"/>
      <c r="AC482" s="228"/>
      <c r="AD482" s="228"/>
      <c r="AK482" s="22"/>
      <c r="AL482" s="22"/>
      <c r="BC482" s="5"/>
      <c r="BD482" s="5"/>
    </row>
    <row r="483" spans="11:56" ht="13.9" customHeight="1" x14ac:dyDescent="0.2">
      <c r="K483" s="12"/>
      <c r="L483" s="12"/>
      <c r="M483" s="84"/>
      <c r="N483" s="84"/>
      <c r="O483" s="84"/>
      <c r="P483" s="5"/>
      <c r="Q483" s="23"/>
      <c r="R483" s="238"/>
      <c r="S483" s="279" t="str">
        <f>B44</f>
        <v>Työssä poistettavien maa-ainesten ja purkumateriaalien kuljetukset</v>
      </c>
      <c r="T483" s="280"/>
      <c r="U483" s="281"/>
      <c r="V483" s="281"/>
      <c r="W483" s="281" t="s">
        <v>662</v>
      </c>
      <c r="X483" s="281" t="s">
        <v>602</v>
      </c>
      <c r="Y483" s="282">
        <f>SUM(Y484:Y485)</f>
        <v>0</v>
      </c>
      <c r="Z483" s="283" t="str">
        <f t="shared" si="11"/>
        <v>--</v>
      </c>
      <c r="AA483" s="228"/>
      <c r="AB483" s="228"/>
      <c r="AC483" s="228"/>
      <c r="AD483" s="228"/>
      <c r="AK483" s="22"/>
      <c r="AL483" s="22"/>
      <c r="BC483" s="5"/>
      <c r="BD483" s="5"/>
    </row>
    <row r="484" spans="11:56" ht="13.9" customHeight="1" x14ac:dyDescent="0.2">
      <c r="K484" s="12"/>
      <c r="L484" s="12"/>
      <c r="M484" s="84"/>
      <c r="N484" s="84"/>
      <c r="O484" s="84"/>
      <c r="P484" s="5"/>
      <c r="Q484" s="23"/>
      <c r="R484" s="238"/>
      <c r="S484" s="207" t="s">
        <v>40</v>
      </c>
      <c r="T484" s="227"/>
      <c r="U484" s="228"/>
      <c r="V484" s="228"/>
      <c r="W484" s="228" t="s">
        <v>40</v>
      </c>
      <c r="X484" s="228" t="s">
        <v>602</v>
      </c>
      <c r="Y484" s="229">
        <f>SUM(AB48,AB53,AB58,AB63,AB68)</f>
        <v>0</v>
      </c>
      <c r="Z484" s="277" t="str">
        <f t="shared" si="11"/>
        <v>--</v>
      </c>
      <c r="AA484" s="228"/>
      <c r="AB484" s="228"/>
      <c r="AC484" s="228"/>
      <c r="AD484" s="228"/>
      <c r="AK484" s="22"/>
      <c r="AL484" s="22"/>
      <c r="BC484" s="5"/>
      <c r="BD484" s="5"/>
    </row>
    <row r="485" spans="11:56" ht="13.9" customHeight="1" x14ac:dyDescent="0.2">
      <c r="K485" s="12"/>
      <c r="L485" s="12"/>
      <c r="M485" s="84"/>
      <c r="N485" s="84"/>
      <c r="O485" s="84"/>
      <c r="P485" s="5"/>
      <c r="Q485" s="23"/>
      <c r="R485" s="238"/>
      <c r="S485" s="207" t="s">
        <v>577</v>
      </c>
      <c r="T485" s="227"/>
      <c r="U485" s="228"/>
      <c r="V485" s="228"/>
      <c r="W485" s="228" t="s">
        <v>40</v>
      </c>
      <c r="X485" s="228" t="s">
        <v>602</v>
      </c>
      <c r="Y485" s="229">
        <f>SUM(AG48,AG53,AG58,AG63,AG68)</f>
        <v>0</v>
      </c>
      <c r="Z485" s="277" t="str">
        <f t="shared" si="11"/>
        <v>--</v>
      </c>
      <c r="AA485" s="228"/>
      <c r="AB485" s="228"/>
      <c r="AC485" s="228"/>
      <c r="AD485" s="228"/>
      <c r="AK485" s="22"/>
      <c r="AL485" s="22"/>
      <c r="BC485" s="5"/>
      <c r="BD485" s="5"/>
    </row>
    <row r="486" spans="11:56" ht="13.9" customHeight="1" x14ac:dyDescent="0.2">
      <c r="K486" s="12"/>
      <c r="L486" s="12"/>
      <c r="M486" s="84"/>
      <c r="N486" s="84"/>
      <c r="O486" s="84"/>
      <c r="P486" s="5"/>
      <c r="Q486" s="23"/>
      <c r="R486" s="238"/>
      <c r="S486" s="279" t="str">
        <f>B75</f>
        <v>Työssä poistetun maa-aineksen käsittely kohteen ulkopuolella</v>
      </c>
      <c r="T486" s="280"/>
      <c r="U486" s="281"/>
      <c r="V486" s="281"/>
      <c r="W486" s="281" t="s">
        <v>600</v>
      </c>
      <c r="X486" s="281" t="s">
        <v>602</v>
      </c>
      <c r="Y486" s="282">
        <f>SUM(R77,R79)</f>
        <v>0</v>
      </c>
      <c r="Z486" s="283" t="str">
        <f t="shared" si="11"/>
        <v>--</v>
      </c>
      <c r="AA486" s="228"/>
      <c r="AB486" s="228"/>
      <c r="AC486" s="228"/>
      <c r="AD486" s="228"/>
      <c r="AK486" s="22"/>
      <c r="AL486" s="22"/>
      <c r="BC486" s="5"/>
      <c r="BD486" s="5"/>
    </row>
    <row r="487" spans="11:56" ht="13.9" customHeight="1" x14ac:dyDescent="0.2">
      <c r="K487" s="12"/>
      <c r="L487" s="12"/>
      <c r="M487" s="84"/>
      <c r="N487" s="84"/>
      <c r="O487" s="84"/>
      <c r="P487" s="5"/>
      <c r="Q487" s="23"/>
      <c r="R487" s="238"/>
      <c r="S487" s="279" t="str">
        <f>B82</f>
        <v>Poistettavia maa-aineksia korvaavien maa-ainesten määrä</v>
      </c>
      <c r="T487" s="280"/>
      <c r="U487" s="281"/>
      <c r="V487" s="281"/>
      <c r="W487" s="281" t="s">
        <v>594</v>
      </c>
      <c r="X487" s="281" t="s">
        <v>602</v>
      </c>
      <c r="Y487" s="282">
        <f>SUM(R84:R88)</f>
        <v>0</v>
      </c>
      <c r="Z487" s="283" t="str">
        <f t="shared" si="11"/>
        <v>--</v>
      </c>
      <c r="AA487" s="228"/>
      <c r="AB487" s="228"/>
      <c r="AC487" s="228"/>
      <c r="AD487" s="228"/>
      <c r="AK487" s="22"/>
      <c r="AL487" s="22"/>
      <c r="BC487" s="5"/>
      <c r="BD487" s="5"/>
    </row>
    <row r="488" spans="11:56" ht="13.9" customHeight="1" x14ac:dyDescent="0.2">
      <c r="K488" s="12"/>
      <c r="L488" s="12"/>
      <c r="M488" s="84"/>
      <c r="N488" s="84"/>
      <c r="O488" s="84"/>
      <c r="P488" s="5"/>
      <c r="Q488" s="23"/>
      <c r="R488" s="238"/>
      <c r="S488" s="279" t="str">
        <f>B92</f>
        <v>Korvaavien maa-ainesten kuljetukset alueelle</v>
      </c>
      <c r="T488" s="280"/>
      <c r="U488" s="281"/>
      <c r="V488" s="281"/>
      <c r="W488" s="281" t="s">
        <v>662</v>
      </c>
      <c r="X488" s="281" t="s">
        <v>602</v>
      </c>
      <c r="Y488" s="282">
        <f>SUM(Y489,Y490)</f>
        <v>0</v>
      </c>
      <c r="Z488" s="283" t="str">
        <f t="shared" si="11"/>
        <v>--</v>
      </c>
      <c r="AA488" s="228"/>
      <c r="AB488" s="228"/>
      <c r="AC488" s="228"/>
      <c r="AD488" s="228"/>
      <c r="AK488" s="22"/>
      <c r="AL488" s="22"/>
      <c r="BC488" s="5"/>
      <c r="BD488" s="5"/>
    </row>
    <row r="489" spans="11:56" ht="13.9" customHeight="1" x14ac:dyDescent="0.2">
      <c r="K489" s="12"/>
      <c r="L489" s="12"/>
      <c r="M489" s="84"/>
      <c r="N489" s="84"/>
      <c r="O489" s="84"/>
      <c r="P489" s="5"/>
      <c r="Q489" s="23"/>
      <c r="R489" s="238"/>
      <c r="S489" s="207" t="s">
        <v>40</v>
      </c>
      <c r="T489" s="228"/>
      <c r="U489" s="228"/>
      <c r="V489" s="228"/>
      <c r="W489" s="228" t="s">
        <v>40</v>
      </c>
      <c r="X489" s="228" t="s">
        <v>602</v>
      </c>
      <c r="Y489" s="229">
        <f>SUM(AB95,AB100,AB105,AB110,AB115)</f>
        <v>0</v>
      </c>
      <c r="Z489" s="277" t="str">
        <f t="shared" si="11"/>
        <v>--</v>
      </c>
      <c r="AA489" s="228"/>
      <c r="AB489" s="228"/>
      <c r="AC489" s="228"/>
      <c r="AD489" s="228"/>
      <c r="AK489" s="22"/>
      <c r="AL489" s="22"/>
      <c r="BC489" s="5"/>
      <c r="BD489" s="5"/>
    </row>
    <row r="490" spans="11:56" ht="13.9" customHeight="1" x14ac:dyDescent="0.2">
      <c r="K490" s="12"/>
      <c r="L490" s="12"/>
      <c r="M490" s="84"/>
      <c r="N490" s="84"/>
      <c r="O490" s="84"/>
      <c r="P490" s="5"/>
      <c r="Q490" s="23"/>
      <c r="R490" s="238"/>
      <c r="S490" s="207" t="s">
        <v>577</v>
      </c>
      <c r="T490" s="228"/>
      <c r="U490" s="228"/>
      <c r="V490" s="228"/>
      <c r="W490" s="228" t="s">
        <v>40</v>
      </c>
      <c r="X490" s="228" t="s">
        <v>602</v>
      </c>
      <c r="Y490" s="229">
        <f>SUM(AG95,AG100,AG105,AG110,AG115)</f>
        <v>0</v>
      </c>
      <c r="Z490" s="277" t="str">
        <f t="shared" si="11"/>
        <v>--</v>
      </c>
      <c r="AA490" s="228"/>
      <c r="AB490" s="228"/>
      <c r="AC490" s="228"/>
      <c r="AD490" s="228"/>
      <c r="AK490" s="22"/>
      <c r="AL490" s="22"/>
      <c r="BC490" s="5"/>
      <c r="BD490" s="5"/>
    </row>
    <row r="491" spans="11:56" ht="13.9" customHeight="1" x14ac:dyDescent="0.2">
      <c r="K491" s="12"/>
      <c r="L491" s="12"/>
      <c r="M491" s="84"/>
      <c r="N491" s="84"/>
      <c r="O491" s="84"/>
      <c r="P491" s="5"/>
      <c r="Q491" s="23"/>
      <c r="R491" s="238"/>
      <c r="S491" s="279" t="str">
        <f>B122</f>
        <v>Täytöt ja muu korvaavien maa-ainesten käyttö alueella</v>
      </c>
      <c r="T491" s="280"/>
      <c r="U491" s="281"/>
      <c r="V491" s="281"/>
      <c r="W491" s="281" t="s">
        <v>595</v>
      </c>
      <c r="X491" s="281" t="s">
        <v>315</v>
      </c>
      <c r="Y491" s="282">
        <f>SUM(R124)</f>
        <v>0</v>
      </c>
      <c r="Z491" s="283" t="str">
        <f t="shared" si="11"/>
        <v>--</v>
      </c>
      <c r="AA491" s="228"/>
      <c r="AB491" s="228"/>
      <c r="AC491" s="228"/>
      <c r="AD491" s="228"/>
      <c r="AK491" s="22"/>
      <c r="AL491" s="22"/>
      <c r="BC491" s="5"/>
      <c r="BD491" s="5"/>
    </row>
    <row r="492" spans="11:56" ht="13.9" customHeight="1" x14ac:dyDescent="0.2">
      <c r="K492" s="12"/>
      <c r="L492" s="12"/>
      <c r="M492" s="84"/>
      <c r="N492" s="84"/>
      <c r="O492" s="84"/>
      <c r="P492" s="5"/>
      <c r="Q492" s="23"/>
      <c r="R492" s="238"/>
      <c r="S492" s="279" t="str">
        <f>B129</f>
        <v>Seulonta tms. maa-ainesten muu käsittely</v>
      </c>
      <c r="T492" s="280"/>
      <c r="U492" s="281"/>
      <c r="V492" s="281"/>
      <c r="W492" s="281" t="s">
        <v>595</v>
      </c>
      <c r="X492" s="281" t="s">
        <v>602</v>
      </c>
      <c r="Y492" s="282">
        <f>SUM(R131)</f>
        <v>0</v>
      </c>
      <c r="Z492" s="283" t="str">
        <f t="shared" si="11"/>
        <v>--</v>
      </c>
      <c r="AA492" s="228"/>
      <c r="AB492" s="228"/>
      <c r="AC492" s="228"/>
      <c r="AD492" s="228"/>
      <c r="AK492" s="22"/>
      <c r="AL492" s="22"/>
      <c r="BC492" s="5"/>
      <c r="BD492" s="5"/>
    </row>
    <row r="493" spans="11:56" ht="13.9" customHeight="1" x14ac:dyDescent="0.2">
      <c r="K493" s="12"/>
      <c r="L493" s="12"/>
      <c r="M493" s="84"/>
      <c r="N493" s="84"/>
      <c r="O493" s="84"/>
      <c r="P493" s="5"/>
      <c r="Q493" s="23"/>
      <c r="R493" s="238"/>
      <c r="S493" s="279" t="str">
        <f>B136</f>
        <v>Maa-aineisten välivarastointi alueella</v>
      </c>
      <c r="T493" s="281"/>
      <c r="U493" s="281"/>
      <c r="V493" s="281"/>
      <c r="W493" s="281" t="s">
        <v>595</v>
      </c>
      <c r="X493" s="281" t="s">
        <v>602</v>
      </c>
      <c r="Y493" s="282">
        <f>SUM(R138,R139)</f>
        <v>0</v>
      </c>
      <c r="Z493" s="283" t="str">
        <f t="shared" si="11"/>
        <v>--</v>
      </c>
      <c r="AA493" s="228"/>
      <c r="AB493" s="228"/>
      <c r="AC493" s="228"/>
      <c r="AD493" s="228"/>
      <c r="AK493" s="22"/>
      <c r="AL493" s="22"/>
      <c r="BC493" s="5"/>
      <c r="BD493" s="5"/>
    </row>
    <row r="494" spans="11:56" ht="13.9" customHeight="1" x14ac:dyDescent="0.2">
      <c r="K494" s="12"/>
      <c r="L494" s="12"/>
      <c r="M494" s="84"/>
      <c r="N494" s="84"/>
      <c r="O494" s="84"/>
      <c r="P494" s="5"/>
      <c r="Q494" s="23"/>
      <c r="R494" s="238"/>
      <c r="S494" s="279" t="str">
        <f>B146</f>
        <v>Muut käsittelyyn liittyvät työkoneita vaativat työt (esim. rammeroinnit ja tiivistykset)</v>
      </c>
      <c r="T494" s="281"/>
      <c r="U494" s="281"/>
      <c r="V494" s="281"/>
      <c r="W494" s="281" t="s">
        <v>595</v>
      </c>
      <c r="X494" s="281" t="s">
        <v>602</v>
      </c>
      <c r="Y494" s="282">
        <f>SUM(R149,R155)</f>
        <v>0</v>
      </c>
      <c r="Z494" s="283" t="str">
        <f t="shared" si="11"/>
        <v>--</v>
      </c>
      <c r="AA494" s="228"/>
      <c r="AB494" s="228"/>
      <c r="AC494" s="228"/>
      <c r="AD494" s="228"/>
      <c r="AK494" s="22"/>
      <c r="AL494" s="22"/>
      <c r="BC494" s="5"/>
      <c r="BD494" s="5"/>
    </row>
    <row r="495" spans="11:56" ht="13.9" customHeight="1" x14ac:dyDescent="0.2">
      <c r="K495" s="12"/>
      <c r="L495" s="12"/>
      <c r="M495" s="84"/>
      <c r="N495" s="84"/>
      <c r="O495" s="84"/>
      <c r="P495" s="5"/>
      <c r="Q495" s="23"/>
      <c r="R495" s="238"/>
      <c r="S495" s="279" t="str">
        <f>B160</f>
        <v>Kaivantojen tuenta</v>
      </c>
      <c r="T495" s="280"/>
      <c r="U495" s="281"/>
      <c r="V495" s="281"/>
      <c r="W495" s="281" t="s">
        <v>595</v>
      </c>
      <c r="X495" s="281" t="s">
        <v>602</v>
      </c>
      <c r="Y495" s="282">
        <f>SUM(R162)</f>
        <v>0</v>
      </c>
      <c r="Z495" s="283" t="str">
        <f t="shared" si="11"/>
        <v>--</v>
      </c>
      <c r="AA495" s="228"/>
      <c r="AB495" s="228"/>
      <c r="AC495" s="228"/>
      <c r="AD495" s="228"/>
      <c r="AK495" s="22"/>
      <c r="AL495" s="22"/>
      <c r="BC495" s="5"/>
      <c r="BD495" s="5"/>
    </row>
    <row r="496" spans="11:56" ht="13.9" customHeight="1" x14ac:dyDescent="0.2">
      <c r="K496" s="12"/>
      <c r="L496" s="12"/>
      <c r="M496" s="84"/>
      <c r="N496" s="84"/>
      <c r="O496" s="84"/>
      <c r="P496" s="5"/>
      <c r="Q496" s="23"/>
      <c r="R496" s="238"/>
      <c r="S496" s="279" t="str">
        <f>B167</f>
        <v>Vesien pumppaaminen</v>
      </c>
      <c r="T496" s="280"/>
      <c r="U496" s="281"/>
      <c r="V496" s="281"/>
      <c r="W496" s="281" t="s">
        <v>595</v>
      </c>
      <c r="X496" s="281" t="s">
        <v>602</v>
      </c>
      <c r="Y496" s="282">
        <f>SUM(R171)</f>
        <v>0</v>
      </c>
      <c r="Z496" s="283" t="str">
        <f t="shared" si="11"/>
        <v>--</v>
      </c>
      <c r="AA496" s="228"/>
      <c r="AB496" s="228"/>
      <c r="AC496" s="228"/>
      <c r="AD496" s="228"/>
      <c r="AK496" s="22"/>
      <c r="AL496" s="22"/>
      <c r="BC496" s="5"/>
      <c r="BD496" s="5"/>
    </row>
    <row r="497" spans="11:56" ht="13.9" customHeight="1" x14ac:dyDescent="0.2">
      <c r="K497" s="12"/>
      <c r="L497" s="12"/>
      <c r="M497" s="84"/>
      <c r="N497" s="84"/>
      <c r="O497" s="84"/>
      <c r="P497" s="5"/>
      <c r="Q497" s="23"/>
      <c r="R497" s="238"/>
      <c r="S497" s="279" t="s">
        <v>579</v>
      </c>
      <c r="T497" s="281"/>
      <c r="U497" s="281"/>
      <c r="V497" s="281"/>
      <c r="W497" s="281" t="s">
        <v>601</v>
      </c>
      <c r="X497" s="281" t="s">
        <v>602</v>
      </c>
      <c r="Y497" s="282">
        <f>SUM(R179)</f>
        <v>0</v>
      </c>
      <c r="Z497" s="283" t="str">
        <f t="shared" si="11"/>
        <v>--</v>
      </c>
      <c r="AA497" s="228"/>
      <c r="AB497" s="228"/>
      <c r="AC497" s="228"/>
      <c r="AD497" s="228"/>
      <c r="AK497" s="22"/>
      <c r="AL497" s="22"/>
      <c r="BC497" s="5"/>
      <c r="BD497" s="5"/>
    </row>
    <row r="498" spans="11:56" ht="13.9" customHeight="1" x14ac:dyDescent="0.2">
      <c r="K498" s="12"/>
      <c r="L498" s="12"/>
      <c r="M498" s="84"/>
      <c r="N498" s="84"/>
      <c r="O498" s="84"/>
      <c r="P498" s="5"/>
      <c r="Q498" s="23"/>
      <c r="R498" s="238"/>
      <c r="S498" s="279" t="str">
        <f>B183</f>
        <v>Käytettävät kertakäyttöiset tuotteet tai materiaalit</v>
      </c>
      <c r="T498" s="281"/>
      <c r="U498" s="281"/>
      <c r="V498" s="281"/>
      <c r="W498" s="281" t="s">
        <v>594</v>
      </c>
      <c r="X498" s="281" t="s">
        <v>315</v>
      </c>
      <c r="Y498" s="282">
        <f>SUM(R187,R190,R193,R196,R199)</f>
        <v>0</v>
      </c>
      <c r="Z498" s="283" t="str">
        <f t="shared" si="11"/>
        <v>--</v>
      </c>
      <c r="AA498" s="228"/>
      <c r="AB498" s="228"/>
      <c r="AC498" s="228"/>
      <c r="AD498" s="228"/>
      <c r="AK498" s="22"/>
      <c r="AL498" s="22"/>
      <c r="BC498" s="5"/>
      <c r="BD498" s="5"/>
    </row>
    <row r="499" spans="11:56" ht="13.9" customHeight="1" x14ac:dyDescent="0.2">
      <c r="K499" s="12"/>
      <c r="L499" s="12"/>
      <c r="M499" s="84"/>
      <c r="N499" s="84"/>
      <c r="O499" s="84"/>
      <c r="P499" s="5"/>
      <c r="Q499" s="23"/>
      <c r="R499" s="238"/>
      <c r="S499" s="279" t="str">
        <f>B201</f>
        <v>Massanvaihdossa käytettävien materiaalien kuljetukset alueelle</v>
      </c>
      <c r="T499" s="281"/>
      <c r="U499" s="281"/>
      <c r="V499" s="281"/>
      <c r="W499" s="281" t="s">
        <v>40</v>
      </c>
      <c r="X499" s="281" t="s">
        <v>602</v>
      </c>
      <c r="Y499" s="282">
        <f>SUM(R209,R217,R225,R233,R241)</f>
        <v>0</v>
      </c>
      <c r="Z499" s="283" t="str">
        <f t="shared" si="11"/>
        <v>--</v>
      </c>
      <c r="AA499" s="228"/>
      <c r="AB499" s="228"/>
      <c r="AC499" s="228"/>
      <c r="AD499" s="228"/>
      <c r="AK499" s="22"/>
      <c r="AL499" s="22"/>
      <c r="BC499" s="5"/>
      <c r="BD499" s="5"/>
    </row>
    <row r="500" spans="11:56" ht="13.9" customHeight="1" x14ac:dyDescent="0.2">
      <c r="K500" s="12"/>
      <c r="L500" s="12"/>
      <c r="M500" s="84"/>
      <c r="N500" s="84"/>
      <c r="O500" s="84"/>
      <c r="P500" s="5"/>
      <c r="Q500" s="23"/>
      <c r="R500" s="238"/>
      <c r="S500" s="279" t="s">
        <v>42</v>
      </c>
      <c r="T500" s="281"/>
      <c r="U500" s="281"/>
      <c r="V500" s="281"/>
      <c r="W500" s="281" t="s">
        <v>664</v>
      </c>
      <c r="X500" s="281"/>
      <c r="Y500" s="282">
        <f>SUM(Y501:Y503)</f>
        <v>0</v>
      </c>
      <c r="Z500" s="283" t="str">
        <f t="shared" si="11"/>
        <v>--</v>
      </c>
      <c r="AA500" s="228"/>
      <c r="AB500" s="228"/>
      <c r="AC500" s="228"/>
      <c r="AD500" s="228"/>
      <c r="AK500" s="22"/>
      <c r="AL500" s="22"/>
      <c r="BC500" s="5"/>
      <c r="BD500" s="5"/>
    </row>
    <row r="501" spans="11:56" ht="13.9" customHeight="1" x14ac:dyDescent="0.2">
      <c r="K501" s="12"/>
      <c r="L501" s="12"/>
      <c r="M501" s="84"/>
      <c r="N501" s="84"/>
      <c r="O501" s="84"/>
      <c r="P501" s="5"/>
      <c r="Q501" s="23"/>
      <c r="R501" s="238"/>
      <c r="S501" s="207" t="s">
        <v>60</v>
      </c>
      <c r="T501" s="228"/>
      <c r="U501" s="228"/>
      <c r="V501" s="228"/>
      <c r="W501" s="228" t="s">
        <v>601</v>
      </c>
      <c r="X501" s="228" t="s">
        <v>316</v>
      </c>
      <c r="Y501" s="229">
        <f>SUM(R251)</f>
        <v>0</v>
      </c>
      <c r="Z501" s="277" t="str">
        <f t="shared" si="11"/>
        <v>--</v>
      </c>
      <c r="AA501" s="228"/>
      <c r="AB501" s="228"/>
      <c r="AC501" s="228"/>
      <c r="AD501" s="228"/>
      <c r="AK501" s="22"/>
      <c r="AL501" s="22"/>
      <c r="BC501" s="5"/>
      <c r="BD501" s="5"/>
    </row>
    <row r="502" spans="11:56" ht="13.9" customHeight="1" x14ac:dyDescent="0.2">
      <c r="K502" s="12"/>
      <c r="L502" s="12"/>
      <c r="M502" s="84"/>
      <c r="N502" s="84"/>
      <c r="O502" s="84"/>
      <c r="P502" s="5"/>
      <c r="Q502" s="23"/>
      <c r="R502" s="238"/>
      <c r="S502" s="207" t="s">
        <v>580</v>
      </c>
      <c r="T502" s="228"/>
      <c r="U502" s="228"/>
      <c r="V502" s="228"/>
      <c r="W502" s="228" t="s">
        <v>601</v>
      </c>
      <c r="X502" s="228" t="s">
        <v>602</v>
      </c>
      <c r="Y502" s="229">
        <f>SUM(R253)</f>
        <v>0</v>
      </c>
      <c r="Z502" s="277" t="str">
        <f t="shared" si="11"/>
        <v>--</v>
      </c>
      <c r="AA502" s="228"/>
      <c r="AB502" s="228"/>
      <c r="AC502" s="228"/>
      <c r="AD502" s="228"/>
      <c r="AK502" s="22"/>
      <c r="AL502" s="22"/>
      <c r="BC502" s="5"/>
      <c r="BD502" s="5"/>
    </row>
    <row r="503" spans="11:56" ht="13.9" customHeight="1" x14ac:dyDescent="0.2">
      <c r="K503" s="12"/>
      <c r="L503" s="12"/>
      <c r="M503" s="84"/>
      <c r="N503" s="84"/>
      <c r="O503" s="84"/>
      <c r="P503" s="5"/>
      <c r="Q503" s="23"/>
      <c r="R503" s="238"/>
      <c r="S503" s="207" t="s">
        <v>581</v>
      </c>
      <c r="T503" s="228"/>
      <c r="U503" s="228"/>
      <c r="V503" s="228"/>
      <c r="W503" s="228" t="s">
        <v>601</v>
      </c>
      <c r="X503" s="228" t="s">
        <v>603</v>
      </c>
      <c r="Y503" s="229">
        <f>SUM(R453)</f>
        <v>0</v>
      </c>
      <c r="Z503" s="277" t="str">
        <f t="shared" si="11"/>
        <v>--</v>
      </c>
      <c r="AA503" s="228"/>
      <c r="AB503" s="228"/>
      <c r="AC503" s="228"/>
      <c r="AD503" s="228"/>
      <c r="AK503" s="22"/>
      <c r="AL503" s="22"/>
      <c r="BC503" s="5"/>
      <c r="BD503" s="5"/>
    </row>
    <row r="504" spans="11:56" ht="13.9" customHeight="1" x14ac:dyDescent="0.2">
      <c r="K504" s="12"/>
      <c r="L504" s="12"/>
      <c r="M504" s="84"/>
      <c r="N504" s="84"/>
      <c r="O504" s="84"/>
      <c r="P504" s="5"/>
      <c r="Q504" s="23"/>
      <c r="R504" s="238"/>
      <c r="S504" s="207"/>
      <c r="T504" s="228"/>
      <c r="U504" s="228"/>
      <c r="V504" s="228"/>
      <c r="W504" s="228"/>
      <c r="X504" s="228"/>
      <c r="Y504" s="229"/>
      <c r="Z504" s="277"/>
      <c r="AA504" s="228"/>
      <c r="AB504" s="228"/>
      <c r="AC504" s="228"/>
      <c r="AD504" s="228"/>
      <c r="AK504" s="22"/>
      <c r="AL504" s="22"/>
      <c r="BC504" s="5"/>
      <c r="BD504" s="5"/>
    </row>
    <row r="505" spans="11:56" ht="13.9" customHeight="1" x14ac:dyDescent="0.2">
      <c r="K505" s="12"/>
      <c r="L505" s="12"/>
      <c r="M505" s="84"/>
      <c r="N505" s="84"/>
      <c r="O505" s="84"/>
      <c r="P505" s="5"/>
      <c r="Q505" s="23"/>
      <c r="R505" s="238"/>
      <c r="S505" s="361" t="s">
        <v>25</v>
      </c>
      <c r="T505" s="228"/>
      <c r="U505" s="228"/>
      <c r="V505" s="228"/>
      <c r="W505" s="228"/>
      <c r="X505" s="228"/>
      <c r="Y505" s="229">
        <f>SUM(Y506,Y509:Y513)</f>
        <v>0</v>
      </c>
      <c r="Z505" s="277" t="str">
        <f t="shared" ref="Z505:Z514" si="12">IF(ISERROR(Y505/Y$525),"--",Y505/Y$525)</f>
        <v>--</v>
      </c>
      <c r="AA505" s="228"/>
      <c r="AB505" s="228"/>
      <c r="AC505" s="228"/>
      <c r="AD505" s="228"/>
      <c r="AK505" s="22"/>
      <c r="AL505" s="22"/>
      <c r="BC505" s="5"/>
      <c r="BD505" s="5"/>
    </row>
    <row r="506" spans="11:56" ht="13.9" customHeight="1" x14ac:dyDescent="0.2">
      <c r="K506" s="12"/>
      <c r="L506" s="12"/>
      <c r="M506" s="84"/>
      <c r="N506" s="84"/>
      <c r="O506" s="84"/>
      <c r="P506" s="5"/>
      <c r="Q506" s="23"/>
      <c r="R506" s="238"/>
      <c r="S506" s="284" t="str">
        <f>B259</f>
        <v>Aumakäsittelyssä tarvittavien työkoneiden ja muun työmaakaluston kuljetus alueelle sekä niiden kuljetus alueelta pois käsittelyn päättyessä</v>
      </c>
      <c r="T506" s="281"/>
      <c r="U506" s="281"/>
      <c r="V506" s="281"/>
      <c r="W506" s="281" t="s">
        <v>662</v>
      </c>
      <c r="X506" s="281" t="s">
        <v>316</v>
      </c>
      <c r="Y506" s="282">
        <f>SUM(Y507:Y508)</f>
        <v>0</v>
      </c>
      <c r="Z506" s="283" t="str">
        <f t="shared" si="12"/>
        <v>--</v>
      </c>
      <c r="AA506" s="228"/>
      <c r="AB506" s="228"/>
      <c r="AC506" s="228"/>
      <c r="AD506" s="228"/>
      <c r="AK506" s="22"/>
      <c r="AL506" s="22"/>
      <c r="BC506" s="5"/>
      <c r="BD506" s="5"/>
    </row>
    <row r="507" spans="11:56" ht="13.9" customHeight="1" x14ac:dyDescent="0.2">
      <c r="K507" s="12"/>
      <c r="L507" s="12"/>
      <c r="M507" s="84"/>
      <c r="N507" s="84"/>
      <c r="O507" s="84"/>
      <c r="P507" s="5"/>
      <c r="Q507" s="23"/>
      <c r="R507" s="238"/>
      <c r="S507" s="246" t="s">
        <v>40</v>
      </c>
      <c r="T507" s="228"/>
      <c r="U507" s="228"/>
      <c r="V507" s="228"/>
      <c r="W507" s="228" t="s">
        <v>40</v>
      </c>
      <c r="X507" s="228" t="s">
        <v>316</v>
      </c>
      <c r="Y507" s="229">
        <f>SUM(AB262,AB267,AB272)</f>
        <v>0</v>
      </c>
      <c r="Z507" s="277" t="str">
        <f t="shared" si="12"/>
        <v>--</v>
      </c>
      <c r="AA507" s="228"/>
      <c r="AB507" s="228"/>
      <c r="AC507" s="228"/>
      <c r="AD507" s="228"/>
      <c r="AK507" s="22"/>
      <c r="AL507" s="22"/>
      <c r="BC507" s="5"/>
      <c r="BD507" s="5"/>
    </row>
    <row r="508" spans="11:56" ht="13.9" customHeight="1" x14ac:dyDescent="0.2">
      <c r="K508" s="12"/>
      <c r="L508" s="12"/>
      <c r="M508" s="84"/>
      <c r="N508" s="84"/>
      <c r="O508" s="84"/>
      <c r="P508" s="5"/>
      <c r="Q508" s="23"/>
      <c r="R508" s="238"/>
      <c r="S508" s="246" t="s">
        <v>577</v>
      </c>
      <c r="T508" s="228"/>
      <c r="U508" s="228"/>
      <c r="V508" s="228"/>
      <c r="W508" s="228" t="s">
        <v>40</v>
      </c>
      <c r="X508" s="228" t="s">
        <v>316</v>
      </c>
      <c r="Y508" s="229">
        <f>SUM(AG262,AG267,AG272)</f>
        <v>0</v>
      </c>
      <c r="Z508" s="277" t="str">
        <f t="shared" si="12"/>
        <v>--</v>
      </c>
      <c r="AA508" s="228"/>
      <c r="AB508" s="228"/>
      <c r="AC508" s="228"/>
      <c r="AD508" s="228"/>
      <c r="AK508" s="22"/>
      <c r="AL508" s="22"/>
      <c r="BC508" s="5"/>
      <c r="BD508" s="5"/>
    </row>
    <row r="509" spans="11:56" ht="13.9" customHeight="1" x14ac:dyDescent="0.2">
      <c r="K509" s="12"/>
      <c r="L509" s="12"/>
      <c r="M509" s="84"/>
      <c r="N509" s="84"/>
      <c r="O509" s="84"/>
      <c r="P509" s="5"/>
      <c r="Q509" s="23"/>
      <c r="R509" s="238"/>
      <c r="S509" s="284" t="str">
        <f>B279</f>
        <v>Aumakäsittelyssä käytettävien kemikaalien ja kertakäyttöisten materiaalien valmistus</v>
      </c>
      <c r="T509" s="281"/>
      <c r="U509" s="281"/>
      <c r="V509" s="281"/>
      <c r="W509" s="281" t="s">
        <v>594</v>
      </c>
      <c r="X509" s="281" t="s">
        <v>315</v>
      </c>
      <c r="Y509" s="282">
        <f>SUM(R283,R286,R289,R292,R295)</f>
        <v>0</v>
      </c>
      <c r="Z509" s="283" t="str">
        <f t="shared" si="12"/>
        <v>--</v>
      </c>
      <c r="AA509" s="228"/>
      <c r="AB509" s="228"/>
      <c r="AC509" s="228"/>
      <c r="AD509" s="228"/>
      <c r="AK509" s="22"/>
      <c r="AL509" s="22"/>
      <c r="BC509" s="5"/>
      <c r="BD509" s="5"/>
    </row>
    <row r="510" spans="11:56" ht="13.9" customHeight="1" x14ac:dyDescent="0.2">
      <c r="K510" s="12"/>
      <c r="L510" s="12"/>
      <c r="M510" s="84"/>
      <c r="N510" s="84"/>
      <c r="O510" s="84"/>
      <c r="P510" s="5"/>
      <c r="Q510" s="23"/>
      <c r="R510" s="238"/>
      <c r="S510" s="284" t="str">
        <f>B297</f>
        <v>Aumakäsittelyssä käytettävien kemikaalien, tuotteiden ja materiaalien kuljetukset alueelle</v>
      </c>
      <c r="T510" s="281"/>
      <c r="U510" s="281"/>
      <c r="V510" s="281"/>
      <c r="W510" s="281" t="s">
        <v>40</v>
      </c>
      <c r="X510" s="281" t="s">
        <v>602</v>
      </c>
      <c r="Y510" s="282">
        <f>SUM(R303,R311,R319,R327,R335)</f>
        <v>0</v>
      </c>
      <c r="Z510" s="283" t="str">
        <f t="shared" si="12"/>
        <v>--</v>
      </c>
      <c r="AA510" s="228"/>
      <c r="AB510" s="228"/>
      <c r="AC510" s="228"/>
      <c r="AD510" s="228"/>
      <c r="AK510" s="22"/>
      <c r="AL510" s="22"/>
      <c r="BC510" s="5"/>
      <c r="BD510" s="5"/>
    </row>
    <row r="511" spans="11:56" ht="13.9" customHeight="1" x14ac:dyDescent="0.2">
      <c r="K511" s="12"/>
      <c r="L511" s="12"/>
      <c r="M511" s="84"/>
      <c r="N511" s="84"/>
      <c r="O511" s="84"/>
      <c r="P511" s="5"/>
      <c r="Q511" s="23"/>
      <c r="R511" s="238"/>
      <c r="S511" s="284" t="str">
        <f>B343</f>
        <v>Aumakäsittelyn työmaatoiminta</v>
      </c>
      <c r="T511" s="281"/>
      <c r="U511" s="281"/>
      <c r="V511" s="281"/>
      <c r="W511" s="281" t="s">
        <v>595</v>
      </c>
      <c r="X511" s="281" t="s">
        <v>602</v>
      </c>
      <c r="Y511" s="282">
        <f>SUM(R345,R350,R355)</f>
        <v>0</v>
      </c>
      <c r="Z511" s="283" t="str">
        <f t="shared" si="12"/>
        <v>--</v>
      </c>
      <c r="AA511" s="228"/>
      <c r="AB511" s="228"/>
      <c r="AC511" s="228"/>
      <c r="AD511" s="228"/>
      <c r="AK511" s="22"/>
      <c r="AL511" s="22"/>
      <c r="BC511" s="5"/>
      <c r="BD511" s="5"/>
    </row>
    <row r="512" spans="11:56" ht="13.9" customHeight="1" x14ac:dyDescent="0.2">
      <c r="K512" s="12"/>
      <c r="L512" s="12"/>
      <c r="M512" s="84"/>
      <c r="N512" s="84"/>
      <c r="O512" s="84"/>
      <c r="P512" s="5"/>
      <c r="Q512" s="23"/>
      <c r="R512" s="238"/>
      <c r="S512" s="284" t="s">
        <v>579</v>
      </c>
      <c r="T512" s="281"/>
      <c r="U512" s="281"/>
      <c r="V512" s="281"/>
      <c r="W512" s="281" t="s">
        <v>601</v>
      </c>
      <c r="X512" s="281" t="s">
        <v>602</v>
      </c>
      <c r="Y512" s="282">
        <f>SUM(R360)</f>
        <v>0</v>
      </c>
      <c r="Z512" s="283" t="str">
        <f t="shared" si="12"/>
        <v>--</v>
      </c>
      <c r="AA512" s="228"/>
      <c r="AB512" s="228"/>
      <c r="AC512" s="228"/>
      <c r="AD512" s="228"/>
      <c r="AK512" s="22"/>
      <c r="AL512" s="22"/>
      <c r="BC512" s="5"/>
      <c r="BD512" s="5"/>
    </row>
    <row r="513" spans="11:56" ht="13.9" customHeight="1" x14ac:dyDescent="0.2">
      <c r="K513" s="12"/>
      <c r="L513" s="12"/>
      <c r="M513" s="84"/>
      <c r="N513" s="84"/>
      <c r="O513" s="84"/>
      <c r="P513" s="5"/>
      <c r="Q513" s="23"/>
      <c r="R513" s="238"/>
      <c r="S513" s="284" t="s">
        <v>42</v>
      </c>
      <c r="T513" s="281"/>
      <c r="U513" s="281"/>
      <c r="V513" s="281"/>
      <c r="W513" s="281" t="s">
        <v>664</v>
      </c>
      <c r="X513" s="281" t="s">
        <v>602</v>
      </c>
      <c r="Y513" s="282">
        <f>SUM(Y514:Y514)</f>
        <v>0</v>
      </c>
      <c r="Z513" s="283" t="str">
        <f t="shared" si="12"/>
        <v>--</v>
      </c>
      <c r="AA513" s="228"/>
      <c r="AB513" s="228"/>
      <c r="AC513" s="228"/>
      <c r="AD513" s="228"/>
      <c r="AK513" s="22"/>
      <c r="AL513" s="22"/>
      <c r="BC513" s="5"/>
      <c r="BD513" s="5"/>
    </row>
    <row r="514" spans="11:56" ht="13.9" customHeight="1" x14ac:dyDescent="0.2">
      <c r="K514" s="12"/>
      <c r="L514" s="12"/>
      <c r="M514" s="84"/>
      <c r="N514" s="84"/>
      <c r="O514" s="84"/>
      <c r="P514" s="5"/>
      <c r="Q514" s="23"/>
      <c r="R514" s="238"/>
      <c r="S514" s="246" t="s">
        <v>580</v>
      </c>
      <c r="T514" s="228"/>
      <c r="U514" s="228"/>
      <c r="V514" s="228"/>
      <c r="W514" s="228" t="s">
        <v>601</v>
      </c>
      <c r="X514" s="228" t="s">
        <v>602</v>
      </c>
      <c r="Y514" s="229">
        <f>SUM(R366)</f>
        <v>0</v>
      </c>
      <c r="Z514" s="277" t="str">
        <f t="shared" si="12"/>
        <v>--</v>
      </c>
      <c r="AA514" s="228"/>
      <c r="AB514" s="228"/>
      <c r="AC514" s="228"/>
      <c r="AD514" s="228"/>
      <c r="AK514" s="22"/>
      <c r="AL514" s="22"/>
      <c r="BC514" s="5"/>
      <c r="BD514" s="5"/>
    </row>
    <row r="515" spans="11:56" ht="13.9" customHeight="1" x14ac:dyDescent="0.2">
      <c r="K515" s="12"/>
      <c r="L515" s="12"/>
      <c r="M515" s="84"/>
      <c r="N515" s="84"/>
      <c r="O515" s="84"/>
      <c r="P515" s="5"/>
      <c r="Q515" s="23"/>
      <c r="R515" s="238"/>
      <c r="S515" s="246"/>
      <c r="T515" s="228"/>
      <c r="U515" s="228"/>
      <c r="V515" s="228"/>
      <c r="W515" s="228"/>
      <c r="X515" s="228"/>
      <c r="Y515" s="229"/>
      <c r="Z515" s="277"/>
      <c r="AA515" s="228"/>
      <c r="AB515" s="228"/>
      <c r="AC515" s="228"/>
      <c r="AD515" s="228"/>
      <c r="AK515" s="22"/>
      <c r="AL515" s="22"/>
      <c r="BC515" s="5"/>
      <c r="BD515" s="5"/>
    </row>
    <row r="516" spans="11:56" ht="13.9" customHeight="1" x14ac:dyDescent="0.2">
      <c r="K516" s="12"/>
      <c r="L516" s="12"/>
      <c r="M516" s="84"/>
      <c r="N516" s="84"/>
      <c r="O516" s="84"/>
      <c r="P516" s="5"/>
      <c r="Q516" s="23"/>
      <c r="R516" s="238"/>
      <c r="S516" s="361" t="str">
        <f>B370</f>
        <v>Massanvaihdon ja mahdollisen aumakäsittelyn puhdistusvaiheen päättäminen</v>
      </c>
      <c r="T516" s="228"/>
      <c r="U516" s="228"/>
      <c r="V516" s="228"/>
      <c r="W516" s="228"/>
      <c r="X516" s="228"/>
      <c r="Y516" s="229"/>
      <c r="Z516" s="277"/>
      <c r="AA516" s="228"/>
      <c r="AB516" s="228"/>
      <c r="AC516" s="228"/>
      <c r="AD516" s="228"/>
      <c r="AK516" s="22"/>
      <c r="AL516" s="22"/>
      <c r="BC516" s="5"/>
      <c r="BD516" s="5"/>
    </row>
    <row r="517" spans="11:56" ht="13.9" customHeight="1" x14ac:dyDescent="0.2">
      <c r="K517" s="12"/>
      <c r="L517" s="12"/>
      <c r="M517" s="84"/>
      <c r="N517" s="84"/>
      <c r="O517" s="84"/>
      <c r="P517" s="5"/>
      <c r="Q517" s="23"/>
      <c r="R517" s="238"/>
      <c r="S517" s="284" t="str">
        <f>B374</f>
        <v>Rakenteiden purkaminen</v>
      </c>
      <c r="T517" s="281"/>
      <c r="U517" s="281"/>
      <c r="V517" s="281"/>
      <c r="W517" s="281" t="s">
        <v>595</v>
      </c>
      <c r="X517" s="281" t="s">
        <v>350</v>
      </c>
      <c r="Y517" s="282">
        <f>SUM(R377,R381,R385)</f>
        <v>0</v>
      </c>
      <c r="Z517" s="283" t="str">
        <f t="shared" ref="Z517:Z523" si="13">IF(ISERROR(Y517/Y$525),"--",Y517/Y$525)</f>
        <v>--</v>
      </c>
      <c r="AA517" s="228"/>
      <c r="AB517" s="228"/>
      <c r="AC517" s="228"/>
      <c r="AD517" s="228"/>
      <c r="AK517" s="22"/>
      <c r="AL517" s="22"/>
      <c r="BC517" s="5"/>
      <c r="BD517" s="5"/>
    </row>
    <row r="518" spans="11:56" ht="13.9" customHeight="1" x14ac:dyDescent="0.2">
      <c r="K518" s="12"/>
      <c r="L518" s="12"/>
      <c r="M518" s="84"/>
      <c r="N518" s="84"/>
      <c r="O518" s="84"/>
      <c r="P518" s="5"/>
      <c r="Q518" s="23"/>
      <c r="R518" s="238"/>
      <c r="S518" s="284" t="str">
        <f>B389</f>
        <v>Poistettavien rakenteiden ja puhdistukseen päättämiseen liittyvien materiaalien kuljetukset</v>
      </c>
      <c r="T518" s="281"/>
      <c r="U518" s="281"/>
      <c r="V518" s="281"/>
      <c r="W518" s="281" t="s">
        <v>662</v>
      </c>
      <c r="X518" s="281" t="s">
        <v>350</v>
      </c>
      <c r="Y518" s="282">
        <f>SUM(Y519:Y520)</f>
        <v>0</v>
      </c>
      <c r="Z518" s="283" t="str">
        <f t="shared" si="13"/>
        <v>--</v>
      </c>
      <c r="AA518" s="228"/>
      <c r="AB518" s="228"/>
      <c r="AC518" s="228"/>
      <c r="AD518" s="228"/>
      <c r="AK518" s="22"/>
      <c r="AL518" s="22"/>
      <c r="BC518" s="5"/>
      <c r="BD518" s="5"/>
    </row>
    <row r="519" spans="11:56" ht="13.9" customHeight="1" x14ac:dyDescent="0.2">
      <c r="K519" s="12"/>
      <c r="L519" s="12"/>
      <c r="M519" s="84"/>
      <c r="N519" s="84"/>
      <c r="O519" s="84"/>
      <c r="P519" s="5"/>
      <c r="Q519" s="23"/>
      <c r="R519" s="238"/>
      <c r="S519" s="246" t="s">
        <v>40</v>
      </c>
      <c r="T519" s="228"/>
      <c r="U519" s="228"/>
      <c r="V519" s="228"/>
      <c r="W519" s="228" t="s">
        <v>40</v>
      </c>
      <c r="X519" s="228" t="s">
        <v>350</v>
      </c>
      <c r="Y519" s="229">
        <f>SUM(AB392,AB397,AB402,AB407,AB412)</f>
        <v>0</v>
      </c>
      <c r="Z519" s="277" t="str">
        <f t="shared" si="13"/>
        <v>--</v>
      </c>
      <c r="AA519" s="228"/>
      <c r="AB519" s="228"/>
      <c r="AC519" s="228"/>
      <c r="AD519" s="228"/>
      <c r="AK519" s="22"/>
      <c r="AL519" s="22"/>
      <c r="BC519" s="5"/>
      <c r="BD519" s="5"/>
    </row>
    <row r="520" spans="11:56" ht="13.9" customHeight="1" x14ac:dyDescent="0.2">
      <c r="K520" s="12"/>
      <c r="L520" s="12"/>
      <c r="M520" s="84"/>
      <c r="N520" s="84"/>
      <c r="O520" s="84"/>
      <c r="P520" s="5"/>
      <c r="Q520" s="23"/>
      <c r="R520" s="238"/>
      <c r="S520" s="246" t="s">
        <v>577</v>
      </c>
      <c r="T520" s="228"/>
      <c r="U520" s="228"/>
      <c r="V520" s="228"/>
      <c r="W520" s="228" t="s">
        <v>40</v>
      </c>
      <c r="X520" s="228" t="s">
        <v>350</v>
      </c>
      <c r="Y520" s="229">
        <f>SUM(AG392,AG397,AG402,AG407,AG412)</f>
        <v>0</v>
      </c>
      <c r="Z520" s="277" t="str">
        <f t="shared" si="13"/>
        <v>--</v>
      </c>
      <c r="AA520" s="228"/>
      <c r="AB520" s="228"/>
      <c r="AC520" s="228"/>
      <c r="AD520" s="228"/>
      <c r="AK520" s="22"/>
      <c r="AL520" s="22"/>
      <c r="BC520" s="5"/>
      <c r="BD520" s="5"/>
    </row>
    <row r="521" spans="11:56" ht="13.9" customHeight="1" x14ac:dyDescent="0.2">
      <c r="K521" s="12"/>
      <c r="L521" s="12"/>
      <c r="M521" s="84"/>
      <c r="N521" s="84"/>
      <c r="O521" s="84"/>
      <c r="P521" s="5"/>
      <c r="Q521" s="23"/>
      <c r="R521" s="238"/>
      <c r="S521" s="284" t="str">
        <f>B419</f>
        <v>Jätteiden loppusijoitus</v>
      </c>
      <c r="T521" s="281"/>
      <c r="U521" s="281"/>
      <c r="V521" s="281"/>
      <c r="W521" s="281" t="s">
        <v>688</v>
      </c>
      <c r="X521" s="281" t="s">
        <v>350</v>
      </c>
      <c r="Y521" s="282">
        <f>SUM(Y522:Y523)</f>
        <v>0</v>
      </c>
      <c r="Z521" s="283" t="str">
        <f t="shared" si="13"/>
        <v>--</v>
      </c>
      <c r="AA521" s="228"/>
      <c r="AB521" s="228"/>
      <c r="AC521" s="228"/>
      <c r="AD521" s="228"/>
      <c r="AK521" s="22"/>
      <c r="AL521" s="22"/>
      <c r="BC521" s="5"/>
      <c r="BD521" s="5"/>
    </row>
    <row r="522" spans="11:56" ht="13.9" customHeight="1" x14ac:dyDescent="0.2">
      <c r="K522" s="12"/>
      <c r="L522" s="12"/>
      <c r="M522" s="84"/>
      <c r="N522" s="84"/>
      <c r="O522" s="84"/>
      <c r="P522" s="5"/>
      <c r="Q522" s="23"/>
      <c r="R522" s="238"/>
      <c r="S522" s="246" t="str">
        <f>B421</f>
        <v>Poistettujen kertakäyttöisten rakenteiden ja materiaalien jatkokäsittely (pl. maa-ainekset)</v>
      </c>
      <c r="T522" s="228"/>
      <c r="U522" s="228"/>
      <c r="V522" s="228"/>
      <c r="W522" s="228" t="s">
        <v>600</v>
      </c>
      <c r="X522" s="228" t="s">
        <v>350</v>
      </c>
      <c r="Y522" s="229">
        <f>SUM(R423,R426,R429,R432,R435,R438)</f>
        <v>0</v>
      </c>
      <c r="Z522" s="277" t="str">
        <f t="shared" si="13"/>
        <v>--</v>
      </c>
      <c r="AA522" s="228"/>
      <c r="AB522" s="228"/>
      <c r="AC522" s="228"/>
      <c r="AD522" s="228"/>
      <c r="AK522" s="22"/>
      <c r="AL522" s="22"/>
      <c r="BC522" s="5"/>
      <c r="BD522" s="5"/>
    </row>
    <row r="523" spans="11:56" ht="13.9" customHeight="1" x14ac:dyDescent="0.2">
      <c r="K523" s="12"/>
      <c r="L523" s="12"/>
      <c r="M523" s="84"/>
      <c r="N523" s="84"/>
      <c r="O523" s="84"/>
      <c r="P523" s="5"/>
      <c r="Q523" s="23"/>
      <c r="R523" s="238"/>
      <c r="S523" s="246" t="str">
        <f>B442</f>
        <v>Poistetun maan jatkokäsittely vastaanottopaikassa</v>
      </c>
      <c r="T523" s="228"/>
      <c r="U523" s="228"/>
      <c r="V523" s="228"/>
      <c r="W523" s="228" t="s">
        <v>600</v>
      </c>
      <c r="X523" s="228" t="s">
        <v>350</v>
      </c>
      <c r="Y523" s="229">
        <f>SUM(R444,R446)</f>
        <v>0</v>
      </c>
      <c r="Z523" s="277" t="str">
        <f t="shared" si="13"/>
        <v>--</v>
      </c>
      <c r="AA523" s="228"/>
      <c r="AB523" s="228"/>
      <c r="AC523" s="228"/>
      <c r="AD523" s="228"/>
      <c r="AK523" s="22"/>
      <c r="AL523" s="22"/>
      <c r="BC523" s="5"/>
      <c r="BD523" s="5"/>
    </row>
    <row r="524" spans="11:56" ht="13.9" customHeight="1" x14ac:dyDescent="0.2">
      <c r="K524" s="12"/>
      <c r="L524" s="12"/>
      <c r="M524" s="84"/>
      <c r="N524" s="84"/>
      <c r="O524" s="84"/>
      <c r="P524" s="5"/>
      <c r="Q524" s="23"/>
      <c r="R524" s="238"/>
      <c r="S524" s="22"/>
      <c r="T524" s="228"/>
      <c r="U524" s="228"/>
      <c r="V524" s="228"/>
      <c r="W524" s="228"/>
      <c r="X524" s="228"/>
      <c r="Y524" s="229"/>
      <c r="Z524" s="277"/>
      <c r="AA524" s="228"/>
      <c r="AB524" s="228"/>
      <c r="AC524" s="228"/>
      <c r="AD524" s="228"/>
      <c r="AK524" s="22"/>
      <c r="AL524" s="22"/>
      <c r="BC524" s="5"/>
      <c r="BD524" s="5"/>
    </row>
    <row r="525" spans="11:56" ht="13.9" customHeight="1" x14ac:dyDescent="0.2">
      <c r="K525" s="12"/>
      <c r="L525" s="12"/>
      <c r="M525" s="84"/>
      <c r="N525" s="84"/>
      <c r="O525" s="84"/>
      <c r="P525" s="5"/>
      <c r="Q525" s="23"/>
      <c r="R525" s="238"/>
      <c r="S525" s="361" t="s">
        <v>583</v>
      </c>
      <c r="T525" s="228"/>
      <c r="U525" s="228"/>
      <c r="V525" s="228"/>
      <c r="W525" s="228"/>
      <c r="X525" s="228"/>
      <c r="Y525" s="392">
        <f>SUM(Y526:Y527)</f>
        <v>0</v>
      </c>
      <c r="Z525" s="393">
        <f>SUM(Z526:Z527)</f>
        <v>0</v>
      </c>
      <c r="AA525" s="228"/>
      <c r="AB525" s="228"/>
      <c r="AC525" s="228"/>
      <c r="AD525" s="228"/>
      <c r="AK525" s="22"/>
      <c r="AL525" s="22"/>
      <c r="BC525" s="5"/>
      <c r="BD525" s="5"/>
    </row>
    <row r="526" spans="11:56" ht="13.9" customHeight="1" x14ac:dyDescent="0.2">
      <c r="K526" s="12"/>
      <c r="L526" s="12"/>
      <c r="M526" s="84"/>
      <c r="N526" s="84"/>
      <c r="O526" s="84"/>
      <c r="P526" s="5"/>
      <c r="Q526" s="23"/>
      <c r="R526" s="238"/>
      <c r="S526" s="207" t="s">
        <v>608</v>
      </c>
      <c r="T526" s="228"/>
      <c r="U526" s="228"/>
      <c r="V526" s="228"/>
      <c r="W526" s="228"/>
      <c r="X526" s="228"/>
      <c r="Y526" s="229">
        <f>SUM(Y471,Y478,Y486:Y488,Y491,Y492:Y500,Y483,Y482,Y521,Y517,Y518)</f>
        <v>0</v>
      </c>
      <c r="Z526" s="277">
        <f>SUM(Z471,Z478,Z486:Z488,Z491,Z492:Z500,Z483,Z482,Z521,Z517,Z518)</f>
        <v>0</v>
      </c>
      <c r="AA526" s="228"/>
      <c r="AB526" s="228"/>
      <c r="AC526" s="228"/>
      <c r="AD526" s="228"/>
      <c r="AK526" s="22"/>
      <c r="AL526" s="22"/>
      <c r="BC526" s="5"/>
      <c r="BD526" s="5"/>
    </row>
    <row r="527" spans="11:56" ht="13.9" customHeight="1" x14ac:dyDescent="0.2">
      <c r="K527" s="12"/>
      <c r="L527" s="12"/>
      <c r="M527" s="84"/>
      <c r="N527" s="84"/>
      <c r="O527" s="84"/>
      <c r="P527" s="5"/>
      <c r="Q527" s="23"/>
      <c r="R527" s="238"/>
      <c r="S527" s="207" t="s">
        <v>25</v>
      </c>
      <c r="T527" s="228"/>
      <c r="U527" s="228"/>
      <c r="V527" s="228"/>
      <c r="W527" s="228"/>
      <c r="X527" s="228"/>
      <c r="Y527" s="229">
        <f>SUM(Y506,Y509,Y510,Y511,Y512,Y513)</f>
        <v>0</v>
      </c>
      <c r="Z527" s="277">
        <f>SUM(Z506,Z509,Z510,Z511,Z512,Z513)</f>
        <v>0</v>
      </c>
      <c r="AA527" s="228"/>
      <c r="AB527" s="228"/>
      <c r="AC527" s="228"/>
      <c r="AD527" s="228"/>
      <c r="AK527" s="22"/>
      <c r="AL527" s="22"/>
      <c r="BC527" s="5"/>
      <c r="BD527" s="5"/>
    </row>
    <row r="528" spans="11:56" ht="13.9" customHeight="1" x14ac:dyDescent="0.2">
      <c r="K528" s="12"/>
      <c r="L528" s="12"/>
      <c r="M528" s="84"/>
      <c r="N528" s="84"/>
      <c r="O528" s="84"/>
      <c r="P528" s="5"/>
      <c r="Q528" s="23"/>
      <c r="R528" s="238"/>
      <c r="S528" s="99"/>
      <c r="T528" s="228"/>
      <c r="U528" s="228"/>
      <c r="V528" s="228"/>
      <c r="W528" s="228"/>
      <c r="X528" s="228"/>
      <c r="Y528" s="229"/>
      <c r="Z528" s="228"/>
      <c r="AA528" s="228"/>
      <c r="AB528" s="228"/>
      <c r="AC528" s="228"/>
      <c r="AD528" s="228"/>
      <c r="AK528" s="22"/>
      <c r="AL528" s="22"/>
      <c r="BC528" s="5"/>
      <c r="BD528" s="5"/>
    </row>
    <row r="529" spans="11:56" ht="13.9" customHeight="1" x14ac:dyDescent="0.2">
      <c r="K529" s="12"/>
      <c r="L529" s="12"/>
      <c r="M529" s="84"/>
      <c r="N529" s="84"/>
      <c r="O529" s="84"/>
      <c r="P529" s="5"/>
      <c r="Q529" s="23"/>
      <c r="R529" s="238"/>
      <c r="S529" s="361"/>
      <c r="T529" s="228"/>
      <c r="U529" s="228"/>
      <c r="V529" s="228"/>
      <c r="W529" s="228"/>
      <c r="X529" s="228"/>
      <c r="Y529" s="228"/>
      <c r="Z529" s="228"/>
      <c r="AA529" s="228"/>
      <c r="AB529" s="228"/>
      <c r="AC529" s="228"/>
      <c r="AD529" s="228"/>
      <c r="AK529" s="22"/>
      <c r="AL529" s="22"/>
      <c r="BC529" s="5"/>
      <c r="BD529" s="5"/>
    </row>
    <row r="530" spans="11:56" ht="13.9" customHeight="1" x14ac:dyDescent="0.2">
      <c r="K530" s="12"/>
      <c r="L530" s="12"/>
      <c r="M530" s="84"/>
      <c r="N530" s="84"/>
      <c r="O530" s="84"/>
      <c r="P530" s="5"/>
      <c r="Q530" s="23"/>
      <c r="R530" s="238"/>
      <c r="S530" s="99" t="s">
        <v>594</v>
      </c>
      <c r="T530" s="228"/>
      <c r="U530" s="229">
        <f t="shared" ref="U530:U535" si="14">SUMIFS($Y$471:$Y$523,$W$471:$W$523,S530)</f>
        <v>0</v>
      </c>
      <c r="V530" s="277" t="str">
        <f>IF(ISERROR(U530/U536),"--",U530/Y526)</f>
        <v>--</v>
      </c>
      <c r="W530" s="228"/>
      <c r="X530" s="228"/>
      <c r="Y530" s="228"/>
      <c r="Z530" s="228"/>
      <c r="AA530" s="228"/>
      <c r="AB530" s="228"/>
      <c r="AC530" s="228"/>
      <c r="AD530" s="228"/>
      <c r="AK530" s="22"/>
      <c r="AL530" s="22"/>
      <c r="BC530" s="5"/>
      <c r="BD530" s="5"/>
    </row>
    <row r="531" spans="11:56" ht="13.9" customHeight="1" x14ac:dyDescent="0.2">
      <c r="K531" s="12"/>
      <c r="L531" s="12"/>
      <c r="M531" s="84"/>
      <c r="N531" s="84"/>
      <c r="O531" s="84"/>
      <c r="P531" s="5"/>
      <c r="Q531" s="23"/>
      <c r="R531" s="238"/>
      <c r="S531" s="99" t="s">
        <v>40</v>
      </c>
      <c r="T531" s="228"/>
      <c r="U531" s="229">
        <f t="shared" si="14"/>
        <v>0</v>
      </c>
      <c r="V531" s="277" t="str">
        <f>IF(ISERROR(U531/U536),"--",U531/Y526)</f>
        <v>--</v>
      </c>
      <c r="W531" s="228"/>
      <c r="X531" s="228"/>
      <c r="Y531" s="228"/>
      <c r="Z531" s="228"/>
      <c r="AA531" s="228"/>
      <c r="AB531" s="228"/>
      <c r="AC531" s="228"/>
      <c r="AD531" s="228"/>
      <c r="AK531" s="22"/>
      <c r="AL531" s="22"/>
      <c r="BC531" s="5"/>
      <c r="BD531" s="5"/>
    </row>
    <row r="532" spans="11:56" ht="13.9" customHeight="1" x14ac:dyDescent="0.2">
      <c r="K532" s="12"/>
      <c r="L532" s="12"/>
      <c r="M532" s="84"/>
      <c r="N532" s="84"/>
      <c r="O532" s="84"/>
      <c r="P532" s="5"/>
      <c r="Q532" s="23"/>
      <c r="R532" s="238"/>
      <c r="S532" s="99" t="s">
        <v>595</v>
      </c>
      <c r="T532" s="228"/>
      <c r="U532" s="229">
        <f t="shared" si="14"/>
        <v>0</v>
      </c>
      <c r="V532" s="277" t="str">
        <f>IF(ISERROR(U532/U536),"--",U532/Y526)</f>
        <v>--</v>
      </c>
      <c r="W532" s="228"/>
      <c r="X532" s="228"/>
      <c r="Y532" s="228"/>
      <c r="Z532" s="228"/>
      <c r="AA532" s="228"/>
      <c r="AB532" s="228"/>
      <c r="AC532" s="228"/>
      <c r="AD532" s="228"/>
      <c r="AK532" s="22"/>
      <c r="AL532" s="22"/>
      <c r="BC532" s="5"/>
      <c r="BD532" s="5"/>
    </row>
    <row r="533" spans="11:56" ht="13.9" customHeight="1" x14ac:dyDescent="0.2">
      <c r="K533" s="12"/>
      <c r="L533" s="12"/>
      <c r="M533" s="84"/>
      <c r="N533" s="84"/>
      <c r="O533" s="84"/>
      <c r="P533" s="5"/>
      <c r="Q533" s="23"/>
      <c r="R533" s="238"/>
      <c r="S533" s="99" t="s">
        <v>683</v>
      </c>
      <c r="T533" s="228"/>
      <c r="U533" s="228">
        <f t="shared" si="14"/>
        <v>0</v>
      </c>
      <c r="V533" s="277" t="str">
        <f>IF(ISERROR(U533/U536),"--",U533/Y526)</f>
        <v>--</v>
      </c>
      <c r="W533" s="228"/>
      <c r="X533" s="228"/>
      <c r="Y533" s="228"/>
      <c r="Z533" s="228"/>
      <c r="AA533" s="228"/>
      <c r="AB533" s="228"/>
      <c r="AC533" s="228"/>
      <c r="AD533" s="228"/>
      <c r="AK533" s="22"/>
      <c r="AL533" s="22"/>
      <c r="BC533" s="5"/>
      <c r="BD533" s="5"/>
    </row>
    <row r="534" spans="11:56" ht="13.9" customHeight="1" x14ac:dyDescent="0.2">
      <c r="K534" s="12"/>
      <c r="L534" s="12"/>
      <c r="M534" s="84"/>
      <c r="N534" s="84"/>
      <c r="O534" s="84"/>
      <c r="P534" s="5"/>
      <c r="Q534" s="23"/>
      <c r="R534" s="238"/>
      <c r="S534" s="99" t="s">
        <v>600</v>
      </c>
      <c r="T534" s="228"/>
      <c r="U534" s="229">
        <f t="shared" si="14"/>
        <v>0</v>
      </c>
      <c r="V534" s="277" t="str">
        <f>IF(ISERROR(U534/U536),"--",U534/Y526)</f>
        <v>--</v>
      </c>
      <c r="W534" s="228"/>
      <c r="X534" s="228"/>
      <c r="Y534" s="228"/>
      <c r="Z534" s="228"/>
      <c r="AA534" s="228"/>
      <c r="AB534" s="228"/>
      <c r="AC534" s="228"/>
      <c r="AD534" s="228"/>
      <c r="AK534" s="22"/>
      <c r="AL534" s="22"/>
      <c r="BC534" s="5"/>
      <c r="BD534" s="5"/>
    </row>
    <row r="535" spans="11:56" ht="13.9" customHeight="1" x14ac:dyDescent="0.2">
      <c r="K535" s="12"/>
      <c r="L535" s="12"/>
      <c r="M535" s="84"/>
      <c r="N535" s="84"/>
      <c r="O535" s="84"/>
      <c r="P535" s="5"/>
      <c r="Q535" s="23"/>
      <c r="R535" s="238"/>
      <c r="S535" s="99" t="s">
        <v>601</v>
      </c>
      <c r="T535" s="228"/>
      <c r="U535" s="229">
        <f t="shared" si="14"/>
        <v>0</v>
      </c>
      <c r="V535" s="277" t="str">
        <f>IF(ISERROR(U535/U536),"--",U535/Y526)</f>
        <v>--</v>
      </c>
      <c r="W535" s="228"/>
      <c r="X535" s="228"/>
      <c r="Y535" s="228"/>
      <c r="Z535" s="228"/>
      <c r="AA535" s="228"/>
      <c r="AB535" s="228"/>
      <c r="AC535" s="228"/>
      <c r="AD535" s="228"/>
      <c r="AK535" s="22"/>
      <c r="AL535" s="22"/>
      <c r="BC535" s="5"/>
      <c r="BD535" s="5"/>
    </row>
    <row r="536" spans="11:56" ht="13.9" customHeight="1" x14ac:dyDescent="0.2">
      <c r="K536" s="12"/>
      <c r="L536" s="12"/>
      <c r="M536" s="84"/>
      <c r="N536" s="84"/>
      <c r="O536" s="84"/>
      <c r="P536" s="5"/>
      <c r="Q536" s="23"/>
      <c r="R536" s="238"/>
      <c r="S536" s="99" t="s">
        <v>605</v>
      </c>
      <c r="T536" s="228"/>
      <c r="U536" s="229">
        <f>SUM(U530:U535)</f>
        <v>0</v>
      </c>
      <c r="V536" s="277" t="str">
        <f>IF(ISERROR(U536/U536),"--",U536/Y526)</f>
        <v>--</v>
      </c>
      <c r="W536" s="228"/>
      <c r="X536" s="228"/>
      <c r="Y536" s="228"/>
      <c r="Z536" s="228"/>
      <c r="AA536" s="228"/>
      <c r="AB536" s="228"/>
      <c r="AC536" s="228"/>
      <c r="AD536" s="228"/>
      <c r="AK536" s="22"/>
      <c r="AL536" s="22"/>
      <c r="BC536" s="5"/>
      <c r="BD536" s="5"/>
    </row>
    <row r="538" spans="11:56" ht="13.9" customHeight="1" x14ac:dyDescent="0.2">
      <c r="K538" s="12"/>
      <c r="L538" s="12"/>
      <c r="M538" s="84"/>
      <c r="N538" s="84"/>
      <c r="O538" s="84"/>
      <c r="P538" s="5"/>
      <c r="Q538" s="23"/>
      <c r="R538" s="238"/>
      <c r="S538" s="361" t="s">
        <v>686</v>
      </c>
      <c r="T538" s="228"/>
      <c r="U538" s="228"/>
      <c r="V538" s="228"/>
      <c r="W538" s="228"/>
      <c r="X538" s="228"/>
      <c r="Y538" s="228"/>
      <c r="Z538" s="228"/>
      <c r="AA538" s="228"/>
      <c r="AB538" s="228"/>
      <c r="AC538" s="228"/>
      <c r="AD538" s="228"/>
      <c r="AK538" s="22"/>
      <c r="AL538" s="22"/>
      <c r="BC538" s="5"/>
      <c r="BD538" s="5"/>
    </row>
    <row r="539" spans="11:56" ht="13.9" customHeight="1" x14ac:dyDescent="0.2">
      <c r="K539" s="12"/>
      <c r="L539" s="12"/>
      <c r="M539" s="84"/>
      <c r="N539" s="84"/>
      <c r="O539" s="84"/>
      <c r="P539" s="5"/>
      <c r="Q539" s="23"/>
      <c r="R539" s="238"/>
      <c r="S539" s="284" t="s">
        <v>597</v>
      </c>
      <c r="T539" s="281"/>
      <c r="U539" s="281"/>
      <c r="V539" s="281"/>
      <c r="W539" s="281"/>
      <c r="X539" s="281"/>
      <c r="Y539" s="282">
        <f>SUM(Y540)</f>
        <v>0</v>
      </c>
      <c r="Z539" s="283"/>
      <c r="AA539" s="228"/>
      <c r="AB539" s="228"/>
      <c r="AC539" s="228"/>
      <c r="AD539" s="228"/>
      <c r="AK539" s="22"/>
      <c r="AL539" s="22"/>
      <c r="BC539" s="5"/>
      <c r="BD539" s="5"/>
    </row>
    <row r="540" spans="11:56" ht="13.9" customHeight="1" x14ac:dyDescent="0.2">
      <c r="K540" s="12"/>
      <c r="L540" s="12"/>
      <c r="M540" s="84"/>
      <c r="N540" s="84"/>
      <c r="O540" s="84"/>
      <c r="P540" s="5"/>
      <c r="Q540" s="23"/>
      <c r="R540" s="238"/>
      <c r="S540" s="246" t="s">
        <v>572</v>
      </c>
      <c r="T540" s="228"/>
      <c r="U540" s="228"/>
      <c r="V540" s="228"/>
      <c r="W540" s="228" t="s">
        <v>601</v>
      </c>
      <c r="X540" s="228" t="s">
        <v>573</v>
      </c>
      <c r="Y540" s="229">
        <f>SUM(R30)</f>
        <v>0</v>
      </c>
      <c r="Z540" s="277"/>
      <c r="AA540" s="228"/>
      <c r="AB540" s="228"/>
      <c r="AC540" s="228"/>
      <c r="AD540" s="228"/>
      <c r="AK540" s="22"/>
      <c r="AL540" s="22"/>
      <c r="BC540" s="5"/>
      <c r="BD540" s="5"/>
    </row>
    <row r="541" spans="11:56" ht="13.9" customHeight="1" x14ac:dyDescent="0.2">
      <c r="K541" s="12"/>
      <c r="L541" s="12"/>
      <c r="M541" s="84"/>
      <c r="N541" s="84"/>
      <c r="O541" s="84"/>
      <c r="P541" s="5"/>
      <c r="Q541" s="23"/>
      <c r="R541" s="238"/>
      <c r="S541" s="238"/>
      <c r="T541" s="238"/>
      <c r="U541" s="238"/>
      <c r="V541" s="238"/>
      <c r="W541" s="238"/>
      <c r="X541" s="238"/>
      <c r="Y541" s="238"/>
      <c r="Z541" s="238"/>
      <c r="AA541" s="238"/>
      <c r="AB541" s="228"/>
      <c r="AC541" s="228"/>
      <c r="AD541" s="228"/>
      <c r="AK541" s="22"/>
      <c r="AL541" s="22"/>
      <c r="BC541" s="5"/>
      <c r="BD541" s="5"/>
    </row>
    <row r="542" spans="11:56" ht="13.9" customHeight="1" x14ac:dyDescent="0.2">
      <c r="K542" s="12"/>
      <c r="L542" s="12"/>
      <c r="M542" s="84"/>
      <c r="N542" s="84"/>
      <c r="O542" s="84"/>
      <c r="P542" s="5"/>
      <c r="Q542" s="23"/>
      <c r="R542" s="238"/>
      <c r="S542" s="284" t="s">
        <v>685</v>
      </c>
      <c r="T542" s="281"/>
      <c r="U542" s="281"/>
      <c r="V542" s="281"/>
      <c r="W542" s="281" t="s">
        <v>689</v>
      </c>
      <c r="X542" s="281"/>
      <c r="Y542" s="282">
        <f>SUM(Y545,Y544,Y543)</f>
        <v>0</v>
      </c>
      <c r="Z542" s="283"/>
      <c r="AA542" s="228"/>
      <c r="AB542" s="228"/>
      <c r="AC542" s="228"/>
      <c r="AD542" s="228"/>
      <c r="AK542" s="22"/>
      <c r="AL542" s="22"/>
      <c r="BC542" s="5"/>
      <c r="BD542" s="5"/>
    </row>
    <row r="543" spans="11:56" ht="13.9" customHeight="1" x14ac:dyDescent="0.2">
      <c r="K543" s="12"/>
      <c r="L543" s="12"/>
      <c r="M543" s="84"/>
      <c r="N543" s="84"/>
      <c r="O543" s="84"/>
      <c r="P543" s="5"/>
      <c r="Q543" s="23"/>
      <c r="R543" s="238"/>
      <c r="S543" s="246" t="s">
        <v>607</v>
      </c>
      <c r="T543" s="228"/>
      <c r="U543" s="228"/>
      <c r="V543" s="228"/>
      <c r="W543" s="228" t="s">
        <v>582</v>
      </c>
      <c r="X543" s="228" t="s">
        <v>582</v>
      </c>
      <c r="Y543" s="229">
        <f>SUM(R80)</f>
        <v>0</v>
      </c>
      <c r="Z543" s="277"/>
      <c r="AA543" s="228"/>
      <c r="AB543" s="228"/>
      <c r="AC543" s="228"/>
      <c r="AD543" s="228"/>
      <c r="AK543" s="22"/>
      <c r="AL543" s="22"/>
      <c r="BC543" s="5"/>
      <c r="BD543" s="5"/>
    </row>
    <row r="544" spans="11:56" ht="13.9" customHeight="1" x14ac:dyDescent="0.2">
      <c r="K544" s="12"/>
      <c r="L544" s="12"/>
      <c r="M544" s="84"/>
      <c r="N544" s="84"/>
      <c r="O544" s="84"/>
      <c r="P544" s="5"/>
      <c r="Q544" s="23"/>
      <c r="R544" s="238"/>
      <c r="S544" s="246" t="s">
        <v>609</v>
      </c>
      <c r="T544" s="228"/>
      <c r="U544" s="228"/>
      <c r="V544" s="228"/>
      <c r="W544" s="228" t="s">
        <v>582</v>
      </c>
      <c r="X544" s="228" t="s">
        <v>350</v>
      </c>
      <c r="Y544" s="229">
        <f>SUM(R431,R430,R427,R428,R433,R434,R436,R437,R439,R440)</f>
        <v>0</v>
      </c>
      <c r="Z544" s="277"/>
      <c r="AA544" s="228"/>
      <c r="AB544" s="228"/>
      <c r="AC544" s="228"/>
      <c r="AD544" s="228"/>
      <c r="AK544" s="22"/>
      <c r="AL544" s="22"/>
      <c r="BC544" s="5"/>
      <c r="BD544" s="5"/>
    </row>
    <row r="545" spans="11:56" ht="13.9" customHeight="1" x14ac:dyDescent="0.2">
      <c r="K545" s="12"/>
      <c r="L545" s="12"/>
      <c r="M545" s="84"/>
      <c r="N545" s="84"/>
      <c r="O545" s="84"/>
      <c r="P545" s="5"/>
      <c r="Q545" s="23"/>
      <c r="R545" s="238"/>
      <c r="S545" s="246" t="s">
        <v>610</v>
      </c>
      <c r="T545" s="228"/>
      <c r="U545" s="228"/>
      <c r="V545" s="228"/>
      <c r="W545" s="228" t="s">
        <v>582</v>
      </c>
      <c r="X545" s="228" t="s">
        <v>350</v>
      </c>
      <c r="Y545" s="229">
        <f>SUM(R447)</f>
        <v>0</v>
      </c>
      <c r="Z545" s="277"/>
      <c r="AA545" s="228"/>
      <c r="AB545" s="228"/>
      <c r="AC545" s="228"/>
      <c r="AD545" s="228"/>
      <c r="AK545" s="22"/>
      <c r="AL545" s="22"/>
      <c r="BC545" s="5"/>
      <c r="BD545" s="5"/>
    </row>
  </sheetData>
  <mergeCells count="105">
    <mergeCell ref="C356:G356"/>
    <mergeCell ref="C377:G377"/>
    <mergeCell ref="C381:G381"/>
    <mergeCell ref="C385:G385"/>
    <mergeCell ref="C351:G351"/>
    <mergeCell ref="C346:G346"/>
    <mergeCell ref="C393:G393"/>
    <mergeCell ref="C398:G398"/>
    <mergeCell ref="C11:G11"/>
    <mergeCell ref="C16:G16"/>
    <mergeCell ref="C21:G21"/>
    <mergeCell ref="C262:G262"/>
    <mergeCell ref="C267:G267"/>
    <mergeCell ref="C132:G132"/>
    <mergeCell ref="C49:G49"/>
    <mergeCell ref="C54:G54"/>
    <mergeCell ref="C59:G59"/>
    <mergeCell ref="C64:G64"/>
    <mergeCell ref="C96:G96"/>
    <mergeCell ref="C69:G69"/>
    <mergeCell ref="C26:D26"/>
    <mergeCell ref="C73:D73"/>
    <mergeCell ref="C120:D120"/>
    <mergeCell ref="C171:D171"/>
    <mergeCell ref="C156:G156"/>
    <mergeCell ref="C116:G116"/>
    <mergeCell ref="C40:G40"/>
    <mergeCell ref="C139:G139"/>
    <mergeCell ref="C141:G141"/>
    <mergeCell ref="C150:G150"/>
    <mergeCell ref="C101:G101"/>
    <mergeCell ref="C106:G106"/>
    <mergeCell ref="C111:G111"/>
    <mergeCell ref="C125:G125"/>
    <mergeCell ref="C368:D368"/>
    <mergeCell ref="C455:D455"/>
    <mergeCell ref="C282:D282"/>
    <mergeCell ref="C285:D285"/>
    <mergeCell ref="C288:D288"/>
    <mergeCell ref="C291:D291"/>
    <mergeCell ref="C294:D294"/>
    <mergeCell ref="C337:G337"/>
    <mergeCell ref="C339:D339"/>
    <mergeCell ref="C340:D340"/>
    <mergeCell ref="C341:D341"/>
    <mergeCell ref="C329:G329"/>
    <mergeCell ref="C331:D331"/>
    <mergeCell ref="C323:D323"/>
    <mergeCell ref="C324:D324"/>
    <mergeCell ref="C403:G403"/>
    <mergeCell ref="C321:G321"/>
    <mergeCell ref="C408:G408"/>
    <mergeCell ref="C413:G413"/>
    <mergeCell ref="C304:D304"/>
    <mergeCell ref="C305:G305"/>
    <mergeCell ref="C307:D307"/>
    <mergeCell ref="C325:D325"/>
    <mergeCell ref="C328:D328"/>
    <mergeCell ref="C192:D192"/>
    <mergeCell ref="C186:D186"/>
    <mergeCell ref="C189:D189"/>
    <mergeCell ref="C332:D332"/>
    <mergeCell ref="C333:D333"/>
    <mergeCell ref="C336:D336"/>
    <mergeCell ref="B299:H299"/>
    <mergeCell ref="B300:H300"/>
    <mergeCell ref="C308:D308"/>
    <mergeCell ref="C309:D309"/>
    <mergeCell ref="C312:D312"/>
    <mergeCell ref="C313:G313"/>
    <mergeCell ref="C315:D315"/>
    <mergeCell ref="C316:D316"/>
    <mergeCell ref="C317:D317"/>
    <mergeCell ref="C320:D320"/>
    <mergeCell ref="C272:G272"/>
    <mergeCell ref="C277:D277"/>
    <mergeCell ref="C211:G211"/>
    <mergeCell ref="C213:D213"/>
    <mergeCell ref="C214:D214"/>
    <mergeCell ref="C215:D215"/>
    <mergeCell ref="C218:D218"/>
    <mergeCell ref="C195:D195"/>
    <mergeCell ref="C198:D198"/>
    <mergeCell ref="B203:H203"/>
    <mergeCell ref="B204:H204"/>
    <mergeCell ref="C210:D210"/>
    <mergeCell ref="C227:G227"/>
    <mergeCell ref="C229:D229"/>
    <mergeCell ref="C230:D230"/>
    <mergeCell ref="C231:D231"/>
    <mergeCell ref="C234:D234"/>
    <mergeCell ref="C219:G219"/>
    <mergeCell ref="C221:D221"/>
    <mergeCell ref="C222:D222"/>
    <mergeCell ref="C223:D223"/>
    <mergeCell ref="C226:D226"/>
    <mergeCell ref="C243:G243"/>
    <mergeCell ref="C245:D245"/>
    <mergeCell ref="C246:D246"/>
    <mergeCell ref="C247:D247"/>
    <mergeCell ref="C235:G235"/>
    <mergeCell ref="C237:D237"/>
    <mergeCell ref="C238:D238"/>
    <mergeCell ref="C239:D239"/>
    <mergeCell ref="C242:D242"/>
  </mergeCells>
  <conditionalFormatting sqref="G48">
    <cfRule type="expression" dxfId="176" priority="30">
      <formula>(D48="t")</formula>
    </cfRule>
  </conditionalFormatting>
  <conditionalFormatting sqref="G53">
    <cfRule type="expression" dxfId="175" priority="29">
      <formula>(D53="t")</formula>
    </cfRule>
  </conditionalFormatting>
  <conditionalFormatting sqref="G58">
    <cfRule type="expression" dxfId="174" priority="28">
      <formula>(D58="t")</formula>
    </cfRule>
  </conditionalFormatting>
  <conditionalFormatting sqref="G63">
    <cfRule type="expression" dxfId="173" priority="27">
      <formula>(D63="t")</formula>
    </cfRule>
  </conditionalFormatting>
  <conditionalFormatting sqref="G68">
    <cfRule type="expression" dxfId="172" priority="26">
      <formula>(D68="t")</formula>
    </cfRule>
  </conditionalFormatting>
  <conditionalFormatting sqref="G138">
    <cfRule type="expression" dxfId="171" priority="143">
      <formula>(D139="t")</formula>
    </cfRule>
  </conditionalFormatting>
  <conditionalFormatting sqref="G187 G190 G193 G196 G199">
    <cfRule type="expression" dxfId="170" priority="1">
      <formula>$D187="Oma yksikkö"</formula>
    </cfRule>
  </conditionalFormatting>
  <conditionalFormatting sqref="G392">
    <cfRule type="expression" dxfId="169" priority="38">
      <formula>(D392="t")</formula>
    </cfRule>
  </conditionalFormatting>
  <conditionalFormatting sqref="G397">
    <cfRule type="expression" dxfId="168" priority="22">
      <formula>(D397="t")</formula>
    </cfRule>
  </conditionalFormatting>
  <conditionalFormatting sqref="G402">
    <cfRule type="expression" dxfId="167" priority="20">
      <formula>(D402="t")</formula>
    </cfRule>
  </conditionalFormatting>
  <conditionalFormatting sqref="G407">
    <cfRule type="expression" dxfId="166" priority="19">
      <formula>(D407="t")</formula>
    </cfRule>
  </conditionalFormatting>
  <conditionalFormatting sqref="G412">
    <cfRule type="expression" dxfId="165" priority="34">
      <formula>(D412="t")</formula>
    </cfRule>
  </conditionalFormatting>
  <pageMargins left="0.70866141732283472" right="0.70866141732283472" top="0.74803149606299213" bottom="0.74803149606299213" header="0.31496062992125984" footer="0.31496062992125984"/>
  <pageSetup paperSize="9" scale="75" orientation="landscape" verticalDpi="0" r:id="rId1"/>
  <headerFooter>
    <oddHeader>&amp;L&amp;"-,Lihavoitu"&amp;12PIIP-laskentatyökalu&amp;RMassanvaihto ja aumakäsittely
Sivu &amp;P/&amp;N</oddHeader>
    <oddFooter>&amp;L&amp;G&amp;R&amp;G</oddFooter>
  </headerFooter>
  <ignoredErrors>
    <ignoredError sqref="K429 K432 K435 K438 R438" formula="1"/>
  </ignoredErrors>
  <legacy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47" id="{970407C3-6A9E-4541-909E-BDC6590ED0D3}">
            <xm:f>$C$139=Pudotusvalikot!$D$68</xm:f>
            <x14:dxf>
              <fill>
                <patternFill>
                  <bgColor theme="2" tint="0.59996337778862885"/>
                </patternFill>
              </fill>
            </x14:dxf>
          </x14:cfRule>
          <xm:sqref>L39</xm:sqref>
        </x14:conditionalFormatting>
        <x14:conditionalFormatting xmlns:xm="http://schemas.microsoft.com/office/excel/2006/main">
          <x14:cfRule type="expression" priority="40" id="{762B146B-F034-4ADB-B4ED-06148DE261F6}">
            <xm:f>$C$56=Pudotusvalikot!$D$68</xm:f>
            <x14:dxf>
              <fill>
                <patternFill>
                  <bgColor theme="2" tint="0.59996337778862885"/>
                </patternFill>
              </fill>
            </x14:dxf>
          </x14:cfRule>
          <xm:sqref>L77 L79:L80 L253 L255:L256 L368:L369 L446:L447 L455:L456</xm:sqref>
        </x14:conditionalFormatting>
        <x14:conditionalFormatting xmlns:xm="http://schemas.microsoft.com/office/excel/2006/main">
          <x14:cfRule type="expression" priority="145" id="{19144C1C-3564-408D-A773-689C64450BA5}">
            <xm:f>$C$40=Pudotusvalikot!$D$68</xm:f>
            <x14:dxf>
              <fill>
                <patternFill>
                  <bgColor theme="2" tint="0.59996337778862885"/>
                </patternFill>
              </fill>
            </x14:dxf>
          </x14:cfRule>
          <xm:sqref>L124</xm:sqref>
        </x14:conditionalFormatting>
        <x14:conditionalFormatting xmlns:xm="http://schemas.microsoft.com/office/excel/2006/main">
          <x14:cfRule type="expression" priority="46" id="{B59B8EA5-2B4C-489E-99B5-B3D171ADF466}">
            <xm:f>$C$139=Pudotusvalikot!$D$68</xm:f>
            <x14:dxf>
              <fill>
                <patternFill>
                  <bgColor theme="2" tint="0.59996337778862885"/>
                </patternFill>
              </fill>
            </x14:dxf>
          </x14:cfRule>
          <xm:sqref>L131</xm:sqref>
        </x14:conditionalFormatting>
        <x14:conditionalFormatting xmlns:xm="http://schemas.microsoft.com/office/excel/2006/main">
          <x14:cfRule type="expression" priority="142" id="{954D0675-2178-4964-A6DA-B37676EF39A2}">
            <xm:f>$C$132=Pudotusvalikot!$D$68</xm:f>
            <x14:dxf>
              <fill>
                <patternFill>
                  <bgColor theme="2" tint="0.59996337778862885"/>
                </patternFill>
              </fill>
            </x14:dxf>
          </x14:cfRule>
          <xm:sqref>L139 L162 L164 L350 L355</xm:sqref>
        </x14:conditionalFormatting>
        <x14:conditionalFormatting xmlns:xm="http://schemas.microsoft.com/office/excel/2006/main">
          <x14:cfRule type="expression" priority="45" id="{59C572E4-82B2-4DAB-B187-211C16789721}">
            <xm:f>$C$57=Pudotusvalikot!$D$68</xm:f>
            <x14:dxf>
              <fill>
                <patternFill>
                  <bgColor theme="2" tint="0.59996337778862885"/>
                </patternFill>
              </fill>
            </x14:dxf>
          </x14:cfRule>
          <xm:sqref>L149</xm:sqref>
        </x14:conditionalFormatting>
        <x14:conditionalFormatting xmlns:xm="http://schemas.microsoft.com/office/excel/2006/main">
          <x14:cfRule type="expression" priority="44" id="{35B0A7CC-DB45-49BC-9B82-757993E80B3E}">
            <xm:f>$C$57=Pudotusvalikot!$D$68</xm:f>
            <x14:dxf>
              <fill>
                <patternFill>
                  <bgColor theme="2" tint="0.59996337778862885"/>
                </patternFill>
              </fill>
            </x14:dxf>
          </x14:cfRule>
          <xm:sqref>L155</xm:sqref>
        </x14:conditionalFormatting>
        <x14:conditionalFormatting xmlns:xm="http://schemas.microsoft.com/office/excel/2006/main">
          <x14:cfRule type="expression" priority="43" id="{04AC2308-09FE-4E4D-8E65-69ED44F3E1F7}">
            <xm:f>#REF!=Pudotusvalikot!$D$68</xm:f>
            <x14:dxf>
              <fill>
                <patternFill>
                  <bgColor theme="2" tint="0.59996337778862885"/>
                </patternFill>
              </fill>
            </x14:dxf>
          </x14:cfRule>
          <xm:sqref>L171:L172</xm:sqref>
        </x14:conditionalFormatting>
        <x14:conditionalFormatting xmlns:xm="http://schemas.microsoft.com/office/excel/2006/main">
          <x14:cfRule type="expression" priority="24" id="{3C97F1A0-BD51-48E7-9759-1059A2A69873}">
            <xm:f>#REF!=Pudotusvalikot!$D$68</xm:f>
            <x14:dxf>
              <fill>
                <patternFill>
                  <bgColor theme="2" tint="0.59996337778862885"/>
                </patternFill>
              </fill>
            </x14:dxf>
          </x14:cfRule>
          <xm:sqref>L179</xm:sqref>
        </x14:conditionalFormatting>
        <x14:conditionalFormatting xmlns:xm="http://schemas.microsoft.com/office/excel/2006/main">
          <x14:cfRule type="expression" priority="32" id="{BB21B9F1-4917-4FE2-80AC-183655FAF3C7}">
            <xm:f>$C$56=Pudotusvalikot!$D$68</xm:f>
            <x14:dxf>
              <fill>
                <patternFill>
                  <bgColor theme="2" tint="0.59996337778862885"/>
                </patternFill>
              </fill>
            </x14:dxf>
          </x14:cfRule>
          <xm:sqref>L251</xm:sqref>
        </x14:conditionalFormatting>
        <x14:conditionalFormatting xmlns:xm="http://schemas.microsoft.com/office/excel/2006/main">
          <x14:cfRule type="expression" priority="73" id="{D26FEAD7-82B2-45E2-852D-37FF9E3D7DF2}">
            <xm:f>$C$132=Pudotusvalikot!$D$68</xm:f>
            <x14:dxf>
              <fill>
                <patternFill>
                  <bgColor theme="2" tint="0.59996337778862885"/>
                </patternFill>
              </fill>
            </x14:dxf>
          </x14:cfRule>
          <xm:sqref>L345</xm:sqref>
        </x14:conditionalFormatting>
        <x14:conditionalFormatting xmlns:xm="http://schemas.microsoft.com/office/excel/2006/main">
          <x14:cfRule type="expression" priority="23" id="{F2698134-370D-492B-AC7B-30E86274762E}">
            <xm:f>#REF!=Pudotusvalikot!$D$68</xm:f>
            <x14:dxf>
              <fill>
                <patternFill>
                  <bgColor theme="2" tint="0.59996337778862885"/>
                </patternFill>
              </fill>
            </x14:dxf>
          </x14:cfRule>
          <xm:sqref>L360</xm:sqref>
        </x14:conditionalFormatting>
        <x14:conditionalFormatting xmlns:xm="http://schemas.microsoft.com/office/excel/2006/main">
          <x14:cfRule type="expression" priority="5" id="{22C7B799-C5B4-4E58-BC9A-A6948E8E239D}">
            <xm:f>$C$56=Pudotusvalikot!$D$68</xm:f>
            <x14:dxf>
              <fill>
                <patternFill>
                  <bgColor theme="2" tint="0.59996337778862885"/>
                </patternFill>
              </fill>
            </x14:dxf>
          </x14:cfRule>
          <xm:sqref>L366</xm:sqref>
        </x14:conditionalFormatting>
        <x14:conditionalFormatting xmlns:xm="http://schemas.microsoft.com/office/excel/2006/main">
          <x14:cfRule type="expression" priority="39" id="{09D997E2-C2E5-4715-91DD-046CE6CEBFAE}">
            <xm:f>#REF!=Pudotusvalikot!$D$68</xm:f>
            <x14:dxf>
              <fill>
                <patternFill>
                  <bgColor theme="2" tint="0.59996337778862885"/>
                </patternFill>
              </fill>
            </x14:dxf>
          </x14:cfRule>
          <xm:sqref>L377 L381 L385</xm:sqref>
        </x14:conditionalFormatting>
        <x14:conditionalFormatting xmlns:xm="http://schemas.microsoft.com/office/excel/2006/main">
          <x14:cfRule type="expression" priority="18" id="{80C0AF6F-6F03-4F7B-871B-BEBA36C242AF}">
            <xm:f>$C$56=Pudotusvalikot!$D$68</xm:f>
            <x14:dxf>
              <fill>
                <patternFill>
                  <bgColor theme="2" tint="0.59996337778862885"/>
                </patternFill>
              </fill>
            </x14:dxf>
          </x14:cfRule>
          <xm:sqref>L423</xm:sqref>
        </x14:conditionalFormatting>
        <x14:conditionalFormatting xmlns:xm="http://schemas.microsoft.com/office/excel/2006/main">
          <x14:cfRule type="expression" priority="8" id="{D94CEE8B-DE1E-4488-8487-0AE983CB6853}">
            <xm:f>$C$56=Pudotusvalikot!$D$68</xm:f>
            <x14:dxf>
              <fill>
                <patternFill>
                  <bgColor theme="2" tint="0.59996337778862885"/>
                </patternFill>
              </fill>
            </x14:dxf>
          </x14:cfRule>
          <xm:sqref>L426:L440</xm:sqref>
        </x14:conditionalFormatting>
        <x14:conditionalFormatting xmlns:xm="http://schemas.microsoft.com/office/excel/2006/main">
          <x14:cfRule type="expression" priority="17" id="{EB973E82-BF99-4DAF-A1DA-EA16C8CD49D1}">
            <xm:f>$C$56=Pudotusvalikot!$D$68</xm:f>
            <x14:dxf>
              <fill>
                <patternFill>
                  <bgColor theme="2" tint="0.59996337778862885"/>
                </patternFill>
              </fill>
            </x14:dxf>
          </x14:cfRule>
          <xm:sqref>L444</xm:sqref>
        </x14:conditionalFormatting>
        <x14:conditionalFormatting xmlns:xm="http://schemas.microsoft.com/office/excel/2006/main">
          <x14:cfRule type="expression" priority="3" id="{D8605CDA-073F-487D-8C44-FF00373190B2}">
            <xm:f>$C$56=Pudotusvalikot!$D$68</xm:f>
            <x14:dxf>
              <fill>
                <patternFill>
                  <bgColor theme="2" tint="0.59996337778862885"/>
                </patternFill>
              </fill>
            </x14:dxf>
          </x14:cfRule>
          <xm:sqref>L453</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xr:uid="{31625B99-7FD2-43A2-96A6-5E60AD1316C3}">
          <x14:formula1>
            <xm:f>Pudotusvalikot!$D$14:$D$65</xm:f>
          </x14:formula1>
          <xm:sqref>C413 C337 C54 C59 C64 C21 C393 C398 C403 C101 C106 C111 C69 C96 C16 C11 C49 C267 C262 C139 C305 C329 C321 C313 C408 C272 C116 C243 C211 C235 C227 C219</xm:sqref>
        </x14:dataValidation>
        <x14:dataValidation type="list" errorStyle="warning" allowBlank="1" showInputMessage="1" showErrorMessage="1" xr:uid="{878C87E9-69BF-4F2C-A4B9-773405E654BF}">
          <x14:formula1>
            <xm:f>Pudotusvalikot!$B$3:$B$5</xm:f>
          </x14:formula1>
          <xm:sqref>C277 C26 C120 C73 C416:C418</xm:sqref>
        </x14:dataValidation>
        <x14:dataValidation type="list" allowBlank="1" showInputMessage="1" showErrorMessage="1" xr:uid="{59E18505-3E66-40D2-A66F-F6E8D424D44A}">
          <x14:formula1>
            <xm:f>Pudotusvalikot!$D$67:$D$92</xm:f>
          </x14:formula1>
          <xm:sqref>C351 C385 C377 C356 C346 C381</xm:sqref>
        </x14:dataValidation>
        <x14:dataValidation type="list" allowBlank="1" showInputMessage="1" showErrorMessage="1" xr:uid="{DB1ED9FA-05BF-4980-9E77-73B62955E42B}">
          <x14:formula1>
            <xm:f>Pudotusvalikot!$D$67:$D$106</xm:f>
          </x14:formula1>
          <xm:sqref>C40 C156 C141 C150 C125 C132</xm:sqref>
        </x14:dataValidation>
        <x14:dataValidation type="list" allowBlank="1" showInputMessage="1" showErrorMessage="1" xr:uid="{D87717BD-1F16-4A6F-B1B2-1DF1FCA37EAC}">
          <x14:formula1>
            <xm:f>Pudotusvalikot!$H$3:$H$8</xm:f>
          </x14:formula1>
          <xm:sqref>D144:F144 F42 D127 D134:F134 D358 D348 D353 D42 F159 D158:D159 D152</xm:sqref>
        </x14:dataValidation>
        <x14:dataValidation type="list" allowBlank="1" showInputMessage="1" showErrorMessage="1" xr:uid="{8E610A34-BAC0-4461-A231-F0CF7E05468E}">
          <x14:formula1>
            <xm:f>Pudotusvalikot!$N$3:$N$7</xm:f>
          </x14:formula1>
          <xm:sqref>C307:C309 C315:C317 C331:C333 C323:C325 C339:C341 C213:C215 C221:C223 C237:C239 C229:C231 C245:C247</xm:sqref>
        </x14:dataValidation>
        <x14:dataValidation type="list" allowBlank="1" showInputMessage="1" showErrorMessage="1" xr:uid="{2246051A-2588-4AAC-898D-5FF2ED74B9FD}">
          <x14:formula1>
            <xm:f>Pudotusvalikot!$T$3:$T$7</xm:f>
          </x14:formula1>
          <xm:sqref>D173</xm:sqref>
        </x14:dataValidation>
        <x14:dataValidation type="list" allowBlank="1" showInputMessage="1" showErrorMessage="1" xr:uid="{4A7D5959-DE87-4B74-B01E-4B88F40201A1}">
          <x14:formula1>
            <xm:f>Pudotusvalikot!$F$3:$F$7</xm:f>
          </x14:formula1>
          <xm:sqref>D68 D402 D392 D48 F84:F90 D412 D397 D58 D63 D53 D407 D84:D90</xm:sqref>
        </x14:dataValidation>
        <x14:dataValidation type="list" allowBlank="1" showInputMessage="1" showErrorMessage="1" xr:uid="{9478993F-A47D-4C60-892E-2A70701B8E69}">
          <x14:formula1>
            <xm:f>Pudotusvalikot!$V$3:$V$9</xm:f>
          </x14:formula1>
          <xm:sqref>C12 C17 C22 C31 C33 C35 C41 C50 C55 C60 C65 C70 C78 C97 C102 C107 C112 C117 C126 C133 C142 C140 C151 C157 C163 C263 C268 C273 C347 C352 C357 C378 C382 C386 C394 C399 C404 C409 C414 C445 C424 C306 C314 C322 C330 C338 C212 C220 C228 C236 C244</xm:sqref>
        </x14:dataValidation>
        <x14:dataValidation type="list" allowBlank="1" showInputMessage="1" showErrorMessage="1" xr:uid="{3920E9E0-CE98-4314-B222-E76EE9836083}">
          <x14:formula1>
            <xm:f>Pudotusvalikot!$X$3:$X$7</xm:f>
          </x14:formula1>
          <xm:sqref>D175</xm:sqref>
        </x14:dataValidation>
        <x14:dataValidation type="list" errorStyle="warning" allowBlank="1" showInputMessage="1" showErrorMessage="1" xr:uid="{A98432A3-221C-432D-86B6-A21ADD5F4A89}">
          <x14:formula1>
            <xm:f>Pudotusvalikot!$P$14:$P$33</xm:f>
          </x14:formula1>
          <xm:sqref>C294:D294 C282:D282 C285:D285 C288:D288 C291:D291</xm:sqref>
        </x14:dataValidation>
        <x14:dataValidation type="list" allowBlank="1" showInputMessage="1" showErrorMessage="1" xr:uid="{A342A965-BEDD-42E7-B92D-B289315E3389}">
          <x14:formula1>
            <xm:f>Pudotusvalikot!$J$3:$J$11</xm:f>
          </x14:formula1>
          <xm:sqref>C255:C256 C368:C369 C455:C456</xm:sqref>
        </x14:dataValidation>
        <x14:dataValidation type="list" allowBlank="1" showInputMessage="1" showErrorMessage="1" xr:uid="{25FC8515-90F8-4528-9D01-73F47261E08F}">
          <x14:formula1>
            <xm:f>Pudotusvalikot!$R$3:$R$11</xm:f>
          </x14:formula1>
          <xm:sqref>C171</xm:sqref>
        </x14:dataValidation>
        <x14:dataValidation type="list" errorStyle="warning" allowBlank="1" showInputMessage="1" showErrorMessage="1" xr:uid="{733CEB91-B119-4200-99B6-5599CA0E36C1}">
          <x14:formula1>
            <xm:f>Pudotusvalikot!$F$14:$F$26</xm:f>
          </x14:formula1>
          <xm:sqref>C186:D186 C189:D189 C192:D192 C195:D195 C198:D198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1050C-B07D-4E8A-AA35-ADF62BB5201C}">
  <sheetPr codeName="Sheet4">
    <tabColor theme="5" tint="0.79998168889431442"/>
  </sheetPr>
  <dimension ref="B1:BG487"/>
  <sheetViews>
    <sheetView zoomScale="85" zoomScaleNormal="85" workbookViewId="0">
      <pane xSplit="1" ySplit="5" topLeftCell="B6" activePane="bottomRight" state="frozen"/>
      <selection pane="topRight" activeCell="B1" sqref="B1"/>
      <selection pane="bottomLeft" activeCell="A6" sqref="A6"/>
      <selection pane="bottomRight" activeCell="C4" sqref="C4"/>
    </sheetView>
  </sheetViews>
  <sheetFormatPr defaultColWidth="9" defaultRowHeight="13.9" customHeight="1" x14ac:dyDescent="0.2"/>
  <cols>
    <col min="1" max="1" width="2.75" style="5" customWidth="1"/>
    <col min="2" max="2" width="85.625" style="5" customWidth="1"/>
    <col min="3" max="3" width="19.125" style="12" customWidth="1"/>
    <col min="4" max="4" width="12.75" style="84" bestFit="1" customWidth="1"/>
    <col min="5" max="5" width="2.25" style="5" customWidth="1"/>
    <col min="6" max="6" width="3.75" style="5" customWidth="1"/>
    <col min="7" max="7" width="20.75" style="12" customWidth="1"/>
    <col min="8" max="8" width="7.75" style="84" customWidth="1"/>
    <col min="9" max="9" width="8.25" style="5" customWidth="1"/>
    <col min="10" max="10" width="60.75" style="14" customWidth="1"/>
    <col min="11" max="12" width="15.75" style="12" customWidth="1"/>
    <col min="13" max="13" width="11" style="84" bestFit="1" customWidth="1"/>
    <col min="14" max="14" width="2.625" style="84" customWidth="1"/>
    <col min="15" max="15" width="80.625" style="84" customWidth="1"/>
    <col min="16" max="16" width="2.75" style="5" customWidth="1"/>
    <col min="17" max="17" width="2.75" style="23" customWidth="1"/>
    <col min="18" max="18" width="15.75" style="238" customWidth="1"/>
    <col min="19" max="19" width="15.75" style="21" customWidth="1"/>
    <col min="20" max="20" width="26.875" style="228" bestFit="1" customWidth="1"/>
    <col min="21" max="30" width="25.75" style="228" customWidth="1"/>
    <col min="31" max="37" width="25.75" style="21" customWidth="1"/>
    <col min="38" max="39" width="15.75" style="21" customWidth="1"/>
    <col min="40" max="57" width="9" style="22"/>
    <col min="58" max="16384" width="9" style="5"/>
  </cols>
  <sheetData>
    <row r="1" spans="2:59" s="30" customFormat="1" ht="15" x14ac:dyDescent="0.2">
      <c r="C1" s="33"/>
      <c r="D1" s="81"/>
      <c r="G1" s="33"/>
      <c r="H1" s="81"/>
      <c r="J1" s="32"/>
      <c r="K1" s="33"/>
      <c r="L1" s="33"/>
      <c r="M1" s="81"/>
      <c r="N1" s="81"/>
      <c r="O1" s="81"/>
      <c r="Q1" s="34"/>
      <c r="R1" s="102"/>
      <c r="S1" s="35"/>
      <c r="T1" s="43"/>
      <c r="U1" s="43"/>
      <c r="V1" s="43"/>
      <c r="W1" s="43"/>
      <c r="X1" s="43"/>
      <c r="Y1" s="43"/>
      <c r="Z1" s="43"/>
      <c r="AA1" s="43"/>
      <c r="AB1" s="43"/>
      <c r="AC1" s="43"/>
      <c r="AD1" s="43"/>
      <c r="AE1" s="35"/>
      <c r="AF1" s="35"/>
      <c r="AG1" s="35"/>
      <c r="AH1" s="35"/>
      <c r="AI1" s="35"/>
      <c r="AJ1" s="35"/>
      <c r="AK1" s="35"/>
      <c r="AL1" s="35"/>
      <c r="AM1" s="35"/>
      <c r="AN1" s="36"/>
      <c r="AO1" s="36"/>
      <c r="AP1" s="36"/>
      <c r="AQ1" s="36"/>
      <c r="AR1" s="36"/>
      <c r="AS1" s="36"/>
      <c r="AT1" s="36"/>
      <c r="AU1" s="36"/>
      <c r="AV1" s="36"/>
      <c r="AW1" s="36"/>
      <c r="AX1" s="36"/>
      <c r="AY1" s="36"/>
      <c r="AZ1" s="36"/>
      <c r="BA1" s="36"/>
      <c r="BB1" s="36"/>
      <c r="BC1" s="36"/>
      <c r="BD1" s="36"/>
      <c r="BE1" s="36"/>
    </row>
    <row r="2" spans="2:59" s="24" customFormat="1" ht="30" x14ac:dyDescent="0.2">
      <c r="B2" s="7" t="s">
        <v>586</v>
      </c>
      <c r="C2" s="26"/>
      <c r="D2" s="82"/>
      <c r="F2" s="436" t="s">
        <v>583</v>
      </c>
      <c r="G2" s="437" t="str">
        <f>IF(ISNUMBER(C4),U467,"")</f>
        <v/>
      </c>
      <c r="H2" s="369" t="s">
        <v>160</v>
      </c>
      <c r="I2" s="370"/>
      <c r="J2" s="25"/>
      <c r="K2" s="26"/>
      <c r="L2" s="26"/>
      <c r="M2" s="82"/>
      <c r="N2" s="82"/>
      <c r="O2" s="82"/>
      <c r="Q2" s="27"/>
      <c r="R2" s="230"/>
      <c r="S2" s="28"/>
      <c r="T2" s="208"/>
      <c r="U2" s="208"/>
      <c r="V2" s="208"/>
      <c r="W2" s="208"/>
      <c r="X2" s="208"/>
      <c r="Y2" s="208"/>
      <c r="Z2" s="208"/>
      <c r="AA2" s="208"/>
      <c r="AB2" s="208"/>
      <c r="AC2" s="208"/>
      <c r="AD2" s="208"/>
      <c r="AE2" s="28"/>
      <c r="AF2" s="28"/>
      <c r="AG2" s="28"/>
      <c r="AH2" s="28"/>
      <c r="AI2" s="28"/>
      <c r="AJ2" s="28"/>
      <c r="AK2" s="28"/>
      <c r="AL2" s="28"/>
      <c r="AM2" s="28"/>
      <c r="AN2" s="29"/>
      <c r="AO2" s="29"/>
      <c r="AP2" s="29"/>
      <c r="AQ2" s="29"/>
      <c r="AR2" s="29"/>
      <c r="AS2" s="29"/>
      <c r="AT2" s="29"/>
      <c r="AU2" s="29"/>
      <c r="AV2" s="29"/>
      <c r="AW2" s="29"/>
      <c r="AX2" s="29"/>
      <c r="AY2" s="29"/>
      <c r="AZ2" s="29"/>
      <c r="BA2" s="29"/>
      <c r="BB2" s="29"/>
      <c r="BC2" s="29"/>
      <c r="BD2" s="29"/>
      <c r="BE2" s="29"/>
    </row>
    <row r="3" spans="2:59" s="30" customFormat="1" ht="15" x14ac:dyDescent="0.2">
      <c r="C3" s="33"/>
      <c r="D3" s="81"/>
      <c r="G3" s="33"/>
      <c r="H3" s="81"/>
      <c r="J3" s="32"/>
      <c r="K3" s="33"/>
      <c r="L3" s="33"/>
      <c r="M3" s="81"/>
      <c r="N3" s="81"/>
      <c r="O3" s="81"/>
      <c r="Q3" s="34"/>
      <c r="R3" s="102"/>
      <c r="S3" s="35"/>
      <c r="T3" s="43"/>
      <c r="U3" s="43"/>
      <c r="V3" s="43"/>
      <c r="W3" s="43"/>
      <c r="X3" s="43"/>
      <c r="Y3" s="43"/>
      <c r="Z3" s="43"/>
      <c r="AA3" s="43"/>
      <c r="AB3" s="43"/>
      <c r="AC3" s="43"/>
      <c r="AD3" s="43"/>
      <c r="AE3" s="35"/>
      <c r="AF3" s="35"/>
      <c r="AG3" s="35"/>
      <c r="AH3" s="35"/>
      <c r="AI3" s="35"/>
      <c r="AJ3" s="35"/>
      <c r="AK3" s="35"/>
      <c r="AL3" s="35"/>
      <c r="AM3" s="35"/>
      <c r="AN3" s="36"/>
      <c r="AO3" s="36"/>
      <c r="AP3" s="36"/>
      <c r="AQ3" s="36"/>
      <c r="AR3" s="36"/>
      <c r="AS3" s="36"/>
      <c r="AT3" s="36"/>
      <c r="AU3" s="36"/>
      <c r="AV3" s="36"/>
      <c r="AW3" s="36"/>
      <c r="AX3" s="36"/>
      <c r="AY3" s="36"/>
      <c r="AZ3" s="36"/>
      <c r="BA3" s="36"/>
      <c r="BB3" s="36"/>
      <c r="BC3" s="36"/>
      <c r="BD3" s="36"/>
      <c r="BE3" s="36"/>
    </row>
    <row r="4" spans="2:59" s="30" customFormat="1" ht="24.95" customHeight="1" x14ac:dyDescent="0.2">
      <c r="B4" s="79" t="s">
        <v>652</v>
      </c>
      <c r="C4" s="150"/>
      <c r="D4" s="81" t="str">
        <f>IF(ISBLANK(C4),"%","")</f>
        <v>%</v>
      </c>
      <c r="G4" s="171" t="str">
        <f>IF(ISNUMBER(C4),C4*'Kohdetiedot ja yhteenveto'!D12,"")</f>
        <v/>
      </c>
      <c r="H4" s="81" t="s">
        <v>163</v>
      </c>
      <c r="J4" s="32"/>
      <c r="K4" s="33"/>
      <c r="L4" s="33"/>
      <c r="M4" s="81"/>
      <c r="N4" s="81"/>
      <c r="O4" s="81"/>
      <c r="Q4" s="34"/>
      <c r="R4" s="102"/>
      <c r="S4" s="35"/>
      <c r="T4" s="43"/>
      <c r="U4" s="43"/>
      <c r="V4" s="43"/>
      <c r="W4" s="43"/>
      <c r="X4" s="43"/>
      <c r="Y4" s="43"/>
      <c r="Z4" s="43"/>
      <c r="AA4" s="43"/>
      <c r="AB4" s="43"/>
      <c r="AC4" s="43"/>
      <c r="AD4" s="43"/>
      <c r="AE4" s="35"/>
      <c r="AF4" s="35"/>
      <c r="AG4" s="35"/>
      <c r="AH4" s="35"/>
      <c r="AI4" s="35"/>
      <c r="AJ4" s="35"/>
      <c r="AK4" s="35"/>
      <c r="AL4" s="35"/>
      <c r="AM4" s="35"/>
      <c r="AN4" s="36"/>
      <c r="AO4" s="36"/>
      <c r="AP4" s="36"/>
      <c r="AQ4" s="36"/>
      <c r="AR4" s="36"/>
      <c r="AS4" s="36"/>
      <c r="AT4" s="36"/>
      <c r="AU4" s="36"/>
      <c r="AV4" s="36"/>
      <c r="AW4" s="36"/>
      <c r="AX4" s="36"/>
      <c r="AY4" s="36"/>
      <c r="AZ4" s="36"/>
      <c r="BA4" s="36"/>
      <c r="BB4" s="36"/>
      <c r="BC4" s="36"/>
      <c r="BD4" s="36"/>
      <c r="BE4" s="36"/>
    </row>
    <row r="5" spans="2:59" s="30" customFormat="1" ht="15" x14ac:dyDescent="0.2">
      <c r="C5" s="33"/>
      <c r="D5" s="81"/>
      <c r="G5" s="33"/>
      <c r="H5" s="81"/>
      <c r="J5" s="32"/>
      <c r="K5" s="33"/>
      <c r="L5" s="33"/>
      <c r="M5" s="81"/>
      <c r="N5" s="81"/>
      <c r="O5" s="81"/>
      <c r="Q5" s="34"/>
      <c r="R5" s="102"/>
      <c r="S5" s="35"/>
      <c r="T5" s="43"/>
      <c r="U5" s="43"/>
      <c r="V5" s="43"/>
      <c r="W5" s="43"/>
      <c r="X5" s="43"/>
      <c r="Y5" s="43"/>
      <c r="Z5" s="43"/>
      <c r="AA5" s="43"/>
      <c r="AB5" s="43"/>
      <c r="AC5" s="43"/>
      <c r="AD5" s="43"/>
      <c r="AE5" s="35"/>
      <c r="AF5" s="35"/>
      <c r="AG5" s="35"/>
      <c r="AH5" s="35"/>
      <c r="AI5" s="35"/>
      <c r="AJ5" s="35"/>
      <c r="AK5" s="35"/>
      <c r="AL5" s="35"/>
      <c r="AM5" s="35"/>
      <c r="AN5" s="36"/>
      <c r="AO5" s="36"/>
      <c r="AP5" s="36"/>
      <c r="AQ5" s="36"/>
      <c r="AR5" s="36"/>
      <c r="AS5" s="36"/>
      <c r="AT5" s="36"/>
      <c r="AU5" s="36"/>
      <c r="AV5" s="36"/>
      <c r="AW5" s="36"/>
      <c r="AX5" s="36"/>
      <c r="AY5" s="36"/>
      <c r="AZ5" s="36"/>
      <c r="BA5" s="36"/>
      <c r="BB5" s="36"/>
      <c r="BC5" s="36"/>
      <c r="BD5" s="36"/>
      <c r="BE5" s="36"/>
    </row>
    <row r="6" spans="2:59" s="192" customFormat="1" ht="23.25" x14ac:dyDescent="0.2">
      <c r="B6" s="193" t="s">
        <v>587</v>
      </c>
      <c r="C6" s="194"/>
      <c r="D6" s="195"/>
      <c r="G6" s="194"/>
      <c r="H6" s="195"/>
      <c r="J6" s="196"/>
      <c r="P6" s="197"/>
      <c r="Q6" s="198"/>
      <c r="R6" s="231"/>
      <c r="S6" s="198"/>
      <c r="T6" s="209"/>
      <c r="U6" s="210"/>
      <c r="V6" s="210"/>
      <c r="W6" s="210"/>
      <c r="X6" s="210"/>
      <c r="Y6" s="210"/>
      <c r="Z6" s="210"/>
      <c r="AA6" s="210"/>
      <c r="AB6" s="210"/>
      <c r="AC6" s="210"/>
      <c r="AD6" s="210"/>
      <c r="AE6" s="201"/>
      <c r="AF6" s="201"/>
      <c r="AG6" s="201"/>
      <c r="AH6" s="201"/>
      <c r="AI6" s="201"/>
      <c r="AJ6" s="201"/>
      <c r="AK6" s="201"/>
      <c r="AL6" s="201"/>
      <c r="AM6" s="201"/>
      <c r="AN6" s="201"/>
      <c r="AO6" s="201"/>
      <c r="AP6" s="200"/>
      <c r="AQ6" s="200"/>
      <c r="AR6" s="200"/>
      <c r="AS6" s="200"/>
      <c r="AT6" s="200"/>
      <c r="AU6" s="200"/>
      <c r="AV6" s="200"/>
      <c r="AW6" s="200"/>
      <c r="AX6" s="200"/>
      <c r="AY6" s="200"/>
      <c r="AZ6" s="200"/>
      <c r="BA6" s="200"/>
      <c r="BB6" s="200"/>
      <c r="BC6" s="200"/>
      <c r="BD6" s="200"/>
      <c r="BE6" s="200"/>
      <c r="BF6" s="200"/>
      <c r="BG6" s="200"/>
    </row>
    <row r="7" spans="2:59" s="30" customFormat="1" ht="15" x14ac:dyDescent="0.2">
      <c r="C7" s="33"/>
      <c r="D7" s="81"/>
      <c r="G7" s="33"/>
      <c r="H7" s="81"/>
      <c r="J7" s="32"/>
      <c r="K7" s="33"/>
      <c r="L7" s="33"/>
      <c r="M7" s="81"/>
      <c r="N7" s="81"/>
      <c r="O7" s="81"/>
      <c r="Q7" s="34"/>
      <c r="R7" s="102"/>
      <c r="S7" s="35"/>
      <c r="T7" s="43"/>
      <c r="U7" s="43"/>
      <c r="V7" s="43"/>
      <c r="W7" s="43"/>
      <c r="X7" s="43"/>
      <c r="Y7" s="43"/>
      <c r="Z7" s="43"/>
      <c r="AA7" s="43"/>
      <c r="AB7" s="43"/>
      <c r="AC7" s="43"/>
      <c r="AD7" s="43"/>
      <c r="AE7" s="35"/>
      <c r="AF7" s="35"/>
      <c r="AG7" s="35"/>
      <c r="AH7" s="35"/>
      <c r="AI7" s="35"/>
      <c r="AJ7" s="35"/>
      <c r="AK7" s="35"/>
      <c r="AL7" s="35"/>
      <c r="AM7" s="35"/>
      <c r="AN7" s="36"/>
      <c r="AO7" s="36"/>
      <c r="AP7" s="36"/>
      <c r="AQ7" s="36"/>
      <c r="AR7" s="36"/>
      <c r="AS7" s="36"/>
      <c r="AT7" s="36"/>
      <c r="AU7" s="36"/>
      <c r="AV7" s="36"/>
      <c r="AW7" s="36"/>
      <c r="AX7" s="36"/>
      <c r="AY7" s="36"/>
      <c r="AZ7" s="36"/>
      <c r="BA7" s="36"/>
      <c r="BB7" s="36"/>
      <c r="BC7" s="36"/>
      <c r="BD7" s="36"/>
      <c r="BE7" s="36"/>
    </row>
    <row r="8" spans="2:59" s="289" customFormat="1" ht="18" x14ac:dyDescent="0.2">
      <c r="B8" s="286" t="s">
        <v>437</v>
      </c>
      <c r="C8" s="287"/>
      <c r="D8" s="288"/>
      <c r="G8" s="287"/>
      <c r="H8" s="288"/>
      <c r="K8" s="287"/>
      <c r="L8" s="287"/>
      <c r="M8" s="288"/>
      <c r="N8" s="288"/>
      <c r="O8" s="291"/>
      <c r="P8" s="311"/>
      <c r="Q8" s="295"/>
      <c r="S8" s="294"/>
      <c r="T8" s="294"/>
      <c r="U8" s="294"/>
      <c r="V8" s="294"/>
      <c r="W8" s="294"/>
      <c r="X8" s="294"/>
      <c r="Y8" s="294"/>
      <c r="Z8" s="294"/>
      <c r="AA8" s="294"/>
      <c r="AB8" s="294"/>
      <c r="AC8" s="294"/>
      <c r="AD8" s="294"/>
      <c r="AE8" s="294"/>
      <c r="AF8" s="294"/>
      <c r="AG8" s="294"/>
      <c r="AH8" s="294"/>
      <c r="AI8" s="294"/>
      <c r="AJ8" s="294"/>
      <c r="AK8" s="294"/>
      <c r="AL8" s="294"/>
      <c r="AM8" s="294"/>
      <c r="AN8" s="295"/>
      <c r="AO8" s="295"/>
      <c r="AP8" s="295"/>
      <c r="AQ8" s="295"/>
      <c r="AR8" s="295"/>
      <c r="AS8" s="295"/>
      <c r="AT8" s="295"/>
      <c r="AU8" s="295"/>
      <c r="AV8" s="295"/>
      <c r="AW8" s="295"/>
      <c r="AX8" s="295"/>
      <c r="AY8" s="295"/>
      <c r="AZ8" s="295"/>
      <c r="BA8" s="295"/>
      <c r="BB8" s="295"/>
      <c r="BC8" s="295"/>
      <c r="BD8" s="295"/>
      <c r="BE8" s="295"/>
    </row>
    <row r="9" spans="2:59" s="30" customFormat="1" ht="15.75" x14ac:dyDescent="0.2">
      <c r="B9" s="8"/>
      <c r="C9" s="33"/>
      <c r="D9" s="81"/>
      <c r="G9" s="33"/>
      <c r="H9" s="81"/>
      <c r="K9" s="37"/>
      <c r="L9" s="37"/>
      <c r="M9" s="81"/>
      <c r="N9" s="81"/>
      <c r="O9" s="249" t="s">
        <v>584</v>
      </c>
      <c r="Q9" s="34"/>
      <c r="R9" s="43" t="s">
        <v>318</v>
      </c>
      <c r="S9" s="35"/>
      <c r="T9" s="43"/>
      <c r="U9" s="43"/>
      <c r="V9" s="43"/>
      <c r="W9" s="43"/>
      <c r="X9" s="43"/>
      <c r="Y9" s="43"/>
      <c r="Z9" s="43"/>
      <c r="AA9" s="43"/>
      <c r="AB9" s="43"/>
      <c r="AC9" s="43"/>
      <c r="AD9" s="43"/>
      <c r="AE9" s="43"/>
      <c r="AF9" s="43"/>
      <c r="AG9" s="43"/>
      <c r="AH9" s="43"/>
      <c r="AI9" s="35"/>
      <c r="AJ9" s="35"/>
      <c r="AK9" s="35"/>
      <c r="AL9" s="35"/>
      <c r="AM9" s="35"/>
      <c r="AN9" s="36"/>
      <c r="AO9" s="36"/>
      <c r="AP9" s="36"/>
      <c r="AQ9" s="36"/>
      <c r="AR9" s="36"/>
      <c r="AS9" s="36"/>
      <c r="AT9" s="36"/>
      <c r="AU9" s="36"/>
      <c r="AV9" s="36"/>
      <c r="AW9" s="36"/>
      <c r="AX9" s="36"/>
      <c r="AY9" s="36"/>
      <c r="AZ9" s="36"/>
      <c r="BA9" s="36"/>
      <c r="BB9" s="36"/>
      <c r="BC9" s="36"/>
      <c r="BD9" s="36"/>
      <c r="BE9" s="36"/>
    </row>
    <row r="10" spans="2:59" s="30" customFormat="1" ht="15" x14ac:dyDescent="0.2">
      <c r="B10" s="168" t="s">
        <v>392</v>
      </c>
      <c r="C10" s="33"/>
      <c r="D10" s="81"/>
      <c r="G10" s="33"/>
      <c r="H10" s="81"/>
      <c r="K10" s="37" t="s">
        <v>297</v>
      </c>
      <c r="L10" s="37" t="s">
        <v>185</v>
      </c>
      <c r="M10" s="81"/>
      <c r="N10" s="81"/>
      <c r="O10" s="250"/>
      <c r="Q10" s="34"/>
      <c r="R10" s="43" t="s">
        <v>160</v>
      </c>
      <c r="S10" s="35"/>
      <c r="T10" s="43" t="s">
        <v>400</v>
      </c>
      <c r="U10" s="43" t="s">
        <v>399</v>
      </c>
      <c r="V10" s="43" t="s">
        <v>397</v>
      </c>
      <c r="W10" s="43" t="s">
        <v>398</v>
      </c>
      <c r="X10" s="43" t="s">
        <v>401</v>
      </c>
      <c r="Y10" s="43" t="s">
        <v>403</v>
      </c>
      <c r="Z10" s="43" t="s">
        <v>402</v>
      </c>
      <c r="AA10" s="43" t="s">
        <v>186</v>
      </c>
      <c r="AB10" s="43" t="s">
        <v>345</v>
      </c>
      <c r="AC10" s="43" t="s">
        <v>404</v>
      </c>
      <c r="AD10" s="43" t="s">
        <v>346</v>
      </c>
      <c r="AE10" s="43" t="s">
        <v>405</v>
      </c>
      <c r="AF10" s="43" t="s">
        <v>406</v>
      </c>
      <c r="AG10" s="43" t="s">
        <v>578</v>
      </c>
      <c r="AH10" s="35" t="s">
        <v>190</v>
      </c>
      <c r="AI10" s="35" t="s">
        <v>249</v>
      </c>
      <c r="AJ10" s="35" t="s">
        <v>191</v>
      </c>
      <c r="AK10" s="104"/>
      <c r="AL10" s="35"/>
      <c r="AM10" s="35"/>
      <c r="AN10" s="36"/>
      <c r="AO10" s="36"/>
      <c r="AP10" s="36"/>
      <c r="AQ10" s="36"/>
      <c r="AR10" s="36"/>
      <c r="AS10" s="36"/>
      <c r="AT10" s="36"/>
      <c r="AU10" s="36"/>
      <c r="AV10" s="36"/>
      <c r="AW10" s="36"/>
      <c r="AX10" s="36"/>
      <c r="AY10" s="36"/>
      <c r="AZ10" s="36"/>
      <c r="BA10" s="36"/>
      <c r="BB10" s="36"/>
      <c r="BC10" s="36"/>
      <c r="BD10" s="36"/>
      <c r="BE10" s="36"/>
    </row>
    <row r="11" spans="2:59" s="30" customFormat="1" ht="30" x14ac:dyDescent="0.2">
      <c r="B11" s="166" t="s">
        <v>455</v>
      </c>
      <c r="C11" s="471" t="s">
        <v>298</v>
      </c>
      <c r="D11" s="472"/>
      <c r="E11" s="472"/>
      <c r="F11" s="472"/>
      <c r="G11" s="473"/>
      <c r="H11" s="165"/>
      <c r="J11" s="169" t="s">
        <v>395</v>
      </c>
      <c r="K11" s="92" t="str">
        <f>IFERROR(IF(ISNUMBER(L11),L11,(VLOOKUP(C11,Kalusto!$C$45:$L$84,5,FALSE)*(VLOOKUP(C12,Muut!$D$40:$E$43,2,FALSE)))),"--")</f>
        <v>--</v>
      </c>
      <c r="L11" s="39"/>
      <c r="M11" s="40" t="s">
        <v>184</v>
      </c>
      <c r="N11" s="40"/>
      <c r="O11" s="259"/>
      <c r="Q11" s="45"/>
      <c r="R11" s="213" t="str">
        <f>IF(AND(NOT(ISNUMBER(AB11)),NOT(ISNUMBER(AG11))),"",IF(ISNUMBER(AB11),AB11,0)+IF(ISNUMBER(AG11),AG11,0))</f>
        <v/>
      </c>
      <c r="S11" s="98" t="s">
        <v>438</v>
      </c>
      <c r="T11" s="211" t="str">
        <f>IFERROR(IF(ISNUMBER(L11),"Kohdetieto",VLOOKUP(C11,Kalusto!$C$45:$L$84,7,FALSE)),"--")</f>
        <v>--</v>
      </c>
      <c r="U11" s="211" t="str">
        <f>IFERROR(IF(ISNUMBER(L11),"Kohdetieto",VLOOKUP(C11,Kalusto!$C$45:$L$84,8,FALSE)),"--")</f>
        <v>--</v>
      </c>
      <c r="V11" s="212" t="str">
        <f>IFERROR(IF(ISNUMBER(L11),"Kohdetieto",VLOOKUP(C11,Kalusto!$C$45:$L$84,9,FALSE)),"--")</f>
        <v>--</v>
      </c>
      <c r="W11" s="212" t="str">
        <f>IFERROR(IF(ISNUMBER(L11),"Kohdetieto",VLOOKUP(C11,Kalusto!$C$45:$L$84,10,FALSE)),"--")</f>
        <v>--</v>
      </c>
      <c r="X11" s="213" t="str">
        <f>IF(ISBLANK(C13),"",C13)</f>
        <v/>
      </c>
      <c r="Y11" s="211" t="str">
        <f>IF(ISNUMBER(C14),C14,"")</f>
        <v/>
      </c>
      <c r="Z11" s="213" t="str">
        <f>IF(ISNUMBER(X11/(U11*V11)*Y11),X11/(U11*V11)*Y11,"")</f>
        <v/>
      </c>
      <c r="AA11" s="214" t="str">
        <f>IF(ISNUMBER(L11),L11,K11)</f>
        <v>--</v>
      </c>
      <c r="AB11" s="213" t="str">
        <f>IF(ISNUMBER(Y11*X11*K11),Y11*X11*K11,"")</f>
        <v/>
      </c>
      <c r="AC11" s="213" t="str">
        <f>IF(C$26="Kyllä",Y11,"")</f>
        <v/>
      </c>
      <c r="AD11" s="213" t="str">
        <f>IF(C$26="Kyllä",IF(ISNUMBER(X11/(U11*V11)),CEILING(X11/(U11*V11),1),""),"")</f>
        <v/>
      </c>
      <c r="AE11" s="48" t="str">
        <f>IF(ISNUMBER(AD11*AC11),AD11*AC11,"")</f>
        <v/>
      </c>
      <c r="AF11" s="49" t="str">
        <f>IF(ISNUMBER(L13),L13,K13)</f>
        <v>--</v>
      </c>
      <c r="AG11" s="48" t="str">
        <f>IF(ISNUMBER(AC11*AD11*K13),AC11*AD11*K13,"")</f>
        <v/>
      </c>
      <c r="AH11" s="46">
        <f>IF(T11="Jakelukuorma-auto",0,IF(T11="Maansiirtoauto",4,IF(T11="Puoliperävaunu",6,8)))</f>
        <v>8</v>
      </c>
      <c r="AI11" s="46">
        <f>IF(AND(T11="Jakelukuorma-auto",U11=6),0,IF(AND(T11="Jakelukuorma-auto",U11=15),2,0))</f>
        <v>0</v>
      </c>
      <c r="AJ11" s="46">
        <f>IF(W11="maantieajo",0,1)</f>
        <v>1</v>
      </c>
      <c r="AK11" s="104"/>
      <c r="AL11" s="35"/>
      <c r="AM11" s="35"/>
      <c r="AN11" s="36"/>
      <c r="AO11" s="36"/>
      <c r="AP11" s="36"/>
      <c r="AQ11" s="36"/>
      <c r="AR11" s="36"/>
      <c r="AS11" s="36"/>
      <c r="AT11" s="36"/>
      <c r="AU11" s="36"/>
      <c r="AV11" s="36"/>
      <c r="AW11" s="36"/>
      <c r="AX11" s="36"/>
      <c r="AY11" s="36"/>
      <c r="AZ11" s="36"/>
      <c r="BA11" s="36"/>
      <c r="BB11" s="36"/>
      <c r="BC11" s="36"/>
      <c r="BD11" s="36"/>
      <c r="BE11" s="36"/>
    </row>
    <row r="12" spans="2:59" s="30" customFormat="1" ht="15" x14ac:dyDescent="0.2">
      <c r="B12" s="182" t="s">
        <v>457</v>
      </c>
      <c r="C12" s="156" t="s">
        <v>309</v>
      </c>
      <c r="D12" s="33"/>
      <c r="E12" s="33"/>
      <c r="F12" s="33"/>
      <c r="G12" s="33"/>
      <c r="H12" s="57"/>
      <c r="J12" s="169"/>
      <c r="K12" s="169"/>
      <c r="L12" s="169"/>
      <c r="M12" s="40"/>
      <c r="N12" s="40"/>
      <c r="O12" s="259"/>
      <c r="Q12" s="45"/>
      <c r="R12" s="43"/>
      <c r="S12" s="35"/>
      <c r="T12" s="43"/>
      <c r="U12" s="43"/>
      <c r="V12" s="215"/>
      <c r="W12" s="215"/>
      <c r="X12" s="216"/>
      <c r="Y12" s="43"/>
      <c r="Z12" s="216"/>
      <c r="AA12" s="217"/>
      <c r="AB12" s="216"/>
      <c r="AC12" s="216"/>
      <c r="AD12" s="216"/>
      <c r="AE12" s="59"/>
      <c r="AF12" s="178"/>
      <c r="AG12" s="59"/>
      <c r="AH12" s="35"/>
      <c r="AI12" s="35"/>
      <c r="AJ12" s="35"/>
      <c r="AK12" s="104"/>
      <c r="AL12" s="35"/>
      <c r="AM12" s="35"/>
      <c r="AN12" s="36"/>
      <c r="AO12" s="36"/>
      <c r="AP12" s="36"/>
      <c r="AQ12" s="36"/>
      <c r="AR12" s="36"/>
      <c r="AS12" s="36"/>
      <c r="AT12" s="36"/>
      <c r="AU12" s="36"/>
      <c r="AV12" s="36"/>
      <c r="AW12" s="36"/>
      <c r="AX12" s="36"/>
      <c r="AY12" s="36"/>
      <c r="AZ12" s="36"/>
      <c r="BA12" s="36"/>
      <c r="BB12" s="36"/>
      <c r="BC12" s="36"/>
      <c r="BD12" s="36"/>
      <c r="BE12" s="36"/>
    </row>
    <row r="13" spans="2:59" s="30" customFormat="1" ht="15" x14ac:dyDescent="0.2">
      <c r="B13" s="44" t="s">
        <v>521</v>
      </c>
      <c r="C13" s="152"/>
      <c r="D13" s="81" t="s">
        <v>52</v>
      </c>
      <c r="G13" s="33"/>
      <c r="H13" s="81"/>
      <c r="J13" s="32" t="s">
        <v>396</v>
      </c>
      <c r="K13" s="92" t="str">
        <f>IFERROR(IF(ISNUMBER(L13),L13,IF($C$26="Ei","",(VLOOKUP(C11,Kalusto!$C$45:$V$84,19,FALSE)*(VLOOKUP(C12,Muut!$D$40:$E$43,2,FALSE))))),"--")</f>
        <v>--</v>
      </c>
      <c r="L13" s="39"/>
      <c r="M13" s="40" t="s">
        <v>188</v>
      </c>
      <c r="N13" s="40"/>
      <c r="O13" s="259"/>
      <c r="P13" s="33"/>
      <c r="Q13" s="50"/>
      <c r="R13" s="213" t="str">
        <f>IF(ISNUMBER(R11),R11,"")</f>
        <v/>
      </c>
      <c r="S13" s="98" t="s">
        <v>439</v>
      </c>
      <c r="T13" s="43"/>
      <c r="U13" s="43"/>
      <c r="V13" s="43"/>
      <c r="W13" s="43"/>
      <c r="X13" s="43"/>
      <c r="Y13" s="43"/>
      <c r="Z13" s="43"/>
      <c r="AA13" s="43"/>
      <c r="AB13" s="43"/>
      <c r="AC13" s="43"/>
      <c r="AD13" s="43"/>
      <c r="AE13" s="35"/>
      <c r="AF13" s="35"/>
      <c r="AG13" s="35"/>
      <c r="AH13" s="35"/>
      <c r="AI13" s="35"/>
      <c r="AJ13" s="35"/>
      <c r="AK13" s="104"/>
      <c r="AL13" s="35"/>
      <c r="AM13" s="35"/>
      <c r="AN13" s="36"/>
      <c r="AO13" s="36"/>
      <c r="AP13" s="36"/>
      <c r="AQ13" s="36"/>
      <c r="AR13" s="36"/>
      <c r="AS13" s="36"/>
      <c r="AT13" s="36"/>
      <c r="AU13" s="36"/>
      <c r="AV13" s="36"/>
      <c r="AW13" s="36"/>
      <c r="AX13" s="36"/>
      <c r="AY13" s="36"/>
      <c r="AZ13" s="36"/>
      <c r="BA13" s="36"/>
      <c r="BB13" s="36"/>
      <c r="BC13" s="36"/>
      <c r="BD13" s="36"/>
      <c r="BE13" s="36"/>
    </row>
    <row r="14" spans="2:59" s="30" customFormat="1" ht="15" x14ac:dyDescent="0.2">
      <c r="B14" s="44" t="s">
        <v>522</v>
      </c>
      <c r="C14" s="152"/>
      <c r="D14" s="81" t="s">
        <v>5</v>
      </c>
      <c r="G14" s="33"/>
      <c r="H14" s="81"/>
      <c r="I14" s="51"/>
      <c r="J14" s="51"/>
      <c r="K14" s="33"/>
      <c r="L14" s="33"/>
      <c r="M14" s="81"/>
      <c r="N14" s="81"/>
      <c r="O14" s="96"/>
      <c r="P14" s="51"/>
      <c r="Q14" s="50"/>
      <c r="R14" s="43" t="s">
        <v>318</v>
      </c>
      <c r="S14" s="36"/>
      <c r="T14" s="43"/>
      <c r="U14" s="43"/>
      <c r="V14" s="43"/>
      <c r="W14" s="43"/>
      <c r="X14" s="43"/>
      <c r="Y14" s="43"/>
      <c r="Z14" s="43"/>
      <c r="AA14" s="43"/>
      <c r="AB14" s="43"/>
      <c r="AC14" s="43"/>
      <c r="AD14" s="43"/>
      <c r="AE14" s="43"/>
      <c r="AF14" s="43"/>
      <c r="AG14" s="43"/>
      <c r="AH14" s="43"/>
      <c r="AI14" s="35"/>
      <c r="AJ14" s="35"/>
      <c r="AK14" s="104"/>
      <c r="AL14" s="35"/>
      <c r="AM14" s="35"/>
      <c r="AN14" s="36"/>
      <c r="AO14" s="36"/>
      <c r="AP14" s="36"/>
      <c r="AQ14" s="36"/>
      <c r="AR14" s="36"/>
      <c r="AS14" s="36"/>
      <c r="AT14" s="36"/>
      <c r="AU14" s="36"/>
      <c r="AV14" s="36"/>
      <c r="AW14" s="36"/>
      <c r="AX14" s="36"/>
      <c r="AY14" s="36"/>
      <c r="AZ14" s="36"/>
      <c r="BA14" s="36"/>
      <c r="BB14" s="36"/>
      <c r="BC14" s="36"/>
      <c r="BD14" s="36"/>
      <c r="BE14" s="36"/>
    </row>
    <row r="15" spans="2:59" s="30" customFormat="1" ht="15" x14ac:dyDescent="0.2">
      <c r="B15" s="168" t="s">
        <v>393</v>
      </c>
      <c r="C15" s="33"/>
      <c r="D15" s="81"/>
      <c r="G15" s="33"/>
      <c r="H15" s="81"/>
      <c r="J15" s="32"/>
      <c r="K15" s="37" t="s">
        <v>297</v>
      </c>
      <c r="L15" s="37" t="s">
        <v>185</v>
      </c>
      <c r="M15" s="81"/>
      <c r="N15" s="81"/>
      <c r="O15" s="96"/>
      <c r="P15" s="33"/>
      <c r="Q15" s="34"/>
      <c r="R15" s="43" t="s">
        <v>160</v>
      </c>
      <c r="S15" s="35"/>
      <c r="T15" s="43" t="s">
        <v>400</v>
      </c>
      <c r="U15" s="43" t="s">
        <v>399</v>
      </c>
      <c r="V15" s="43" t="s">
        <v>397</v>
      </c>
      <c r="W15" s="43" t="s">
        <v>398</v>
      </c>
      <c r="X15" s="43" t="s">
        <v>401</v>
      </c>
      <c r="Y15" s="43" t="s">
        <v>403</v>
      </c>
      <c r="Z15" s="43" t="s">
        <v>402</v>
      </c>
      <c r="AA15" s="43" t="s">
        <v>186</v>
      </c>
      <c r="AB15" s="43" t="s">
        <v>345</v>
      </c>
      <c r="AC15" s="43" t="s">
        <v>404</v>
      </c>
      <c r="AD15" s="43" t="s">
        <v>346</v>
      </c>
      <c r="AE15" s="43" t="s">
        <v>405</v>
      </c>
      <c r="AF15" s="43" t="s">
        <v>406</v>
      </c>
      <c r="AG15" s="43" t="s">
        <v>578</v>
      </c>
      <c r="AH15" s="35" t="s">
        <v>190</v>
      </c>
      <c r="AI15" s="35" t="s">
        <v>249</v>
      </c>
      <c r="AJ15" s="35" t="s">
        <v>191</v>
      </c>
      <c r="AK15" s="104"/>
      <c r="AL15" s="35"/>
      <c r="AM15" s="35"/>
      <c r="AN15" s="36"/>
      <c r="AO15" s="36"/>
      <c r="AP15" s="36"/>
      <c r="AQ15" s="36"/>
      <c r="AR15" s="36"/>
      <c r="AS15" s="36"/>
      <c r="AT15" s="36"/>
      <c r="AU15" s="36"/>
      <c r="AV15" s="36"/>
      <c r="AW15" s="36"/>
      <c r="AX15" s="36"/>
      <c r="AY15" s="36"/>
      <c r="AZ15" s="36"/>
      <c r="BA15" s="36"/>
      <c r="BB15" s="36"/>
      <c r="BC15" s="36"/>
      <c r="BD15" s="36"/>
      <c r="BE15" s="36"/>
    </row>
    <row r="16" spans="2:59" s="30" customFormat="1" ht="30" x14ac:dyDescent="0.2">
      <c r="B16" s="166" t="s">
        <v>455</v>
      </c>
      <c r="C16" s="471" t="s">
        <v>298</v>
      </c>
      <c r="D16" s="472"/>
      <c r="E16" s="472"/>
      <c r="F16" s="472"/>
      <c r="G16" s="473"/>
      <c r="H16" s="165"/>
      <c r="J16" s="169" t="s">
        <v>395</v>
      </c>
      <c r="K16" s="92" t="str">
        <f>IFERROR(IF(ISNUMBER(L16),L16,(VLOOKUP(C16,Kalusto!$C$45:$L$84,5,FALSE)*(VLOOKUP(C17,Muut!$D$40:$E$43,2,FALSE)))),"--")</f>
        <v>--</v>
      </c>
      <c r="L16" s="39"/>
      <c r="M16" s="40" t="s">
        <v>184</v>
      </c>
      <c r="N16" s="40"/>
      <c r="O16" s="259"/>
      <c r="Q16" s="45"/>
      <c r="R16" s="213" t="str">
        <f>IF(AND(NOT(ISNUMBER(AB16)),NOT(ISNUMBER(AG16))),"",IF(ISNUMBER(AB16),AB16,0)+IF(ISNUMBER(AG16),AG16,0))</f>
        <v/>
      </c>
      <c r="S16" s="98" t="s">
        <v>438</v>
      </c>
      <c r="T16" s="211" t="str">
        <f>IFERROR(IF(ISNUMBER(L16),"Kohdetieto",VLOOKUP(C16,Kalusto!$C$45:$L$84,7,FALSE)),"--")</f>
        <v>--</v>
      </c>
      <c r="U16" s="211" t="str">
        <f>IFERROR(IF(ISNUMBER(L16),"Kohdetieto",VLOOKUP(C16,Kalusto!$C$45:$L$84,8,FALSE)),"--")</f>
        <v>--</v>
      </c>
      <c r="V16" s="212" t="str">
        <f>IFERROR(IF(ISNUMBER(L16),"Kohdetieto",VLOOKUP(C16,Kalusto!$C$45:$L$84,9,FALSE)),"--")</f>
        <v>--</v>
      </c>
      <c r="W16" s="212" t="str">
        <f>IFERROR(IF(ISNUMBER(L16),"Kohdetieto",VLOOKUP(C16,Kalusto!$C$45:$L$84,10,FALSE)),"--")</f>
        <v>--</v>
      </c>
      <c r="X16" s="213" t="str">
        <f>IF(ISBLANK(C18),"",C18)</f>
        <v/>
      </c>
      <c r="Y16" s="211" t="str">
        <f>IF(ISNUMBER(C19),C19,"")</f>
        <v/>
      </c>
      <c r="Z16" s="213" t="str">
        <f>IF(ISNUMBER(X16/(U16*V16)*Y16),X16/(U16*V16)*Y16,"")</f>
        <v/>
      </c>
      <c r="AA16" s="214" t="str">
        <f>IF(ISNUMBER(L16),L16,K16)</f>
        <v>--</v>
      </c>
      <c r="AB16" s="213" t="str">
        <f>IF(ISNUMBER(Y16*X16*K16),Y16*X16*K16,"")</f>
        <v/>
      </c>
      <c r="AC16" s="213" t="str">
        <f>IF(C$26="Kyllä",Y16,"")</f>
        <v/>
      </c>
      <c r="AD16" s="213" t="str">
        <f>IF(C$26="Kyllä",IF(ISNUMBER(X16/(U16*V16)),CEILING(X16/(U16*V16),1),""),"")</f>
        <v/>
      </c>
      <c r="AE16" s="48" t="str">
        <f>IF(ISNUMBER(AD16*AC16),AD16*AC16,"")</f>
        <v/>
      </c>
      <c r="AF16" s="49" t="str">
        <f>IF(ISNUMBER(L18),L18,K18)</f>
        <v>--</v>
      </c>
      <c r="AG16" s="48" t="str">
        <f>IF(ISNUMBER(AC16*AD16*K18),AC16*AD16*K18,"")</f>
        <v/>
      </c>
      <c r="AH16" s="46">
        <f>IF(T16="Jakelukuorma-auto",0,IF(T16="Maansiirtoauto",4,IF(T16="Puoliperävaunu",6,8)))</f>
        <v>8</v>
      </c>
      <c r="AI16" s="46">
        <f>IF(AND(T16="Jakelukuorma-auto",U16=6),0,IF(AND(T16="Jakelukuorma-auto",U16=15),2,0))</f>
        <v>0</v>
      </c>
      <c r="AJ16" s="46">
        <f>IF(W16="maantieajo",0,1)</f>
        <v>1</v>
      </c>
      <c r="AK16" s="104"/>
      <c r="AL16" s="35"/>
      <c r="AM16" s="35"/>
      <c r="AN16" s="36"/>
      <c r="AO16" s="36"/>
      <c r="AP16" s="36"/>
      <c r="AQ16" s="36"/>
      <c r="AR16" s="36"/>
      <c r="AS16" s="36"/>
      <c r="AT16" s="36"/>
      <c r="AU16" s="36"/>
      <c r="AV16" s="36"/>
      <c r="AW16" s="36"/>
      <c r="AX16" s="36"/>
      <c r="AY16" s="36"/>
      <c r="AZ16" s="36"/>
      <c r="BA16" s="36"/>
      <c r="BB16" s="36"/>
      <c r="BC16" s="36"/>
      <c r="BD16" s="36"/>
      <c r="BE16" s="36"/>
    </row>
    <row r="17" spans="2:57" s="30" customFormat="1" ht="15" x14ac:dyDescent="0.2">
      <c r="B17" s="182" t="s">
        <v>457</v>
      </c>
      <c r="C17" s="156" t="s">
        <v>309</v>
      </c>
      <c r="D17" s="33"/>
      <c r="E17" s="33"/>
      <c r="F17" s="33"/>
      <c r="G17" s="33"/>
      <c r="H17" s="57"/>
      <c r="J17" s="169"/>
      <c r="K17" s="169"/>
      <c r="L17" s="169"/>
      <c r="M17" s="40"/>
      <c r="N17" s="40"/>
      <c r="O17" s="259"/>
      <c r="Q17" s="45"/>
      <c r="R17" s="43"/>
      <c r="S17" s="35"/>
      <c r="T17" s="43"/>
      <c r="U17" s="43"/>
      <c r="V17" s="215"/>
      <c r="W17" s="215"/>
      <c r="X17" s="216"/>
      <c r="Y17" s="43"/>
      <c r="Z17" s="216"/>
      <c r="AA17" s="217"/>
      <c r="AB17" s="216"/>
      <c r="AC17" s="216"/>
      <c r="AD17" s="216"/>
      <c r="AE17" s="59"/>
      <c r="AF17" s="178"/>
      <c r="AG17" s="59"/>
      <c r="AH17" s="35"/>
      <c r="AI17" s="35"/>
      <c r="AJ17" s="35"/>
      <c r="AK17" s="104"/>
      <c r="AL17" s="35"/>
      <c r="AM17" s="35"/>
      <c r="AN17" s="36"/>
      <c r="AO17" s="36"/>
      <c r="AP17" s="36"/>
      <c r="AQ17" s="36"/>
      <c r="AR17" s="36"/>
      <c r="AS17" s="36"/>
      <c r="AT17" s="36"/>
      <c r="AU17" s="36"/>
      <c r="AV17" s="36"/>
      <c r="AW17" s="36"/>
      <c r="AX17" s="36"/>
      <c r="AY17" s="36"/>
      <c r="AZ17" s="36"/>
      <c r="BA17" s="36"/>
      <c r="BB17" s="36"/>
      <c r="BC17" s="36"/>
      <c r="BD17" s="36"/>
      <c r="BE17" s="36"/>
    </row>
    <row r="18" spans="2:57" s="30" customFormat="1" ht="15" x14ac:dyDescent="0.2">
      <c r="B18" s="44" t="s">
        <v>521</v>
      </c>
      <c r="C18" s="152"/>
      <c r="D18" s="81" t="s">
        <v>52</v>
      </c>
      <c r="G18" s="33"/>
      <c r="H18" s="81"/>
      <c r="J18" s="32" t="s">
        <v>396</v>
      </c>
      <c r="K18" s="92" t="str">
        <f>IFERROR(IF(ISNUMBER(L18),L18,IF($C$26="Ei","",(VLOOKUP(C16,Kalusto!$C$45:$V$84,19,FALSE)*(VLOOKUP(C17,Muut!$D$40:$E$43,2,FALSE))))),"--")</f>
        <v>--</v>
      </c>
      <c r="L18" s="39"/>
      <c r="M18" s="40" t="s">
        <v>188</v>
      </c>
      <c r="N18" s="40"/>
      <c r="O18" s="259"/>
      <c r="P18" s="33"/>
      <c r="Q18" s="50"/>
      <c r="R18" s="213" t="str">
        <f>IF(ISNUMBER(R16),R16,"")</f>
        <v/>
      </c>
      <c r="S18" s="98" t="s">
        <v>439</v>
      </c>
      <c r="T18" s="43"/>
      <c r="U18" s="43"/>
      <c r="V18" s="43"/>
      <c r="W18" s="43"/>
      <c r="X18" s="43"/>
      <c r="Y18" s="43"/>
      <c r="Z18" s="43"/>
      <c r="AA18" s="43"/>
      <c r="AB18" s="43"/>
      <c r="AC18" s="43"/>
      <c r="AD18" s="43"/>
      <c r="AE18" s="35"/>
      <c r="AF18" s="35"/>
      <c r="AG18" s="35"/>
      <c r="AH18" s="35"/>
      <c r="AI18" s="35"/>
      <c r="AJ18" s="35"/>
      <c r="AK18" s="104"/>
      <c r="AL18" s="35"/>
      <c r="AM18" s="35"/>
      <c r="AN18" s="36"/>
      <c r="AO18" s="36"/>
      <c r="AP18" s="36"/>
      <c r="AQ18" s="36"/>
      <c r="AR18" s="36"/>
      <c r="AS18" s="36"/>
      <c r="AT18" s="36"/>
      <c r="AU18" s="36"/>
      <c r="AV18" s="36"/>
      <c r="AW18" s="36"/>
      <c r="AX18" s="36"/>
      <c r="AY18" s="36"/>
      <c r="AZ18" s="36"/>
      <c r="BA18" s="36"/>
      <c r="BB18" s="36"/>
      <c r="BC18" s="36"/>
      <c r="BD18" s="36"/>
      <c r="BE18" s="36"/>
    </row>
    <row r="19" spans="2:57" s="30" customFormat="1" ht="15" x14ac:dyDescent="0.2">
      <c r="B19" s="44" t="s">
        <v>522</v>
      </c>
      <c r="C19" s="386"/>
      <c r="D19" s="81" t="s">
        <v>5</v>
      </c>
      <c r="G19" s="33"/>
      <c r="H19" s="81"/>
      <c r="I19" s="51"/>
      <c r="J19" s="51"/>
      <c r="K19" s="33"/>
      <c r="L19" s="33"/>
      <c r="M19" s="81"/>
      <c r="N19" s="81"/>
      <c r="O19" s="96"/>
      <c r="P19" s="51"/>
      <c r="Q19" s="50"/>
      <c r="R19" s="43" t="s">
        <v>318</v>
      </c>
      <c r="S19" s="35"/>
      <c r="T19" s="43"/>
      <c r="U19" s="43"/>
      <c r="V19" s="43"/>
      <c r="W19" s="43"/>
      <c r="X19" s="43"/>
      <c r="Y19" s="43"/>
      <c r="Z19" s="43"/>
      <c r="AA19" s="43"/>
      <c r="AB19" s="43"/>
      <c r="AC19" s="43"/>
      <c r="AD19" s="43"/>
      <c r="AE19" s="43"/>
      <c r="AF19" s="43"/>
      <c r="AG19" s="43"/>
      <c r="AH19" s="43"/>
      <c r="AI19" s="35"/>
      <c r="AJ19" s="35"/>
      <c r="AK19" s="104"/>
      <c r="AL19" s="35"/>
      <c r="AM19" s="35"/>
      <c r="AN19" s="36"/>
      <c r="AO19" s="36"/>
      <c r="AP19" s="36"/>
      <c r="AQ19" s="36"/>
      <c r="AR19" s="36"/>
      <c r="AS19" s="36"/>
      <c r="AT19" s="36"/>
      <c r="AU19" s="36"/>
      <c r="AV19" s="36"/>
      <c r="AW19" s="36"/>
      <c r="AX19" s="36"/>
      <c r="AY19" s="36"/>
      <c r="AZ19" s="36"/>
      <c r="BA19" s="36"/>
      <c r="BB19" s="36"/>
      <c r="BC19" s="36"/>
      <c r="BD19" s="36"/>
      <c r="BE19" s="36"/>
    </row>
    <row r="20" spans="2:57" s="30" customFormat="1" ht="15" x14ac:dyDescent="0.2">
      <c r="B20" s="168" t="s">
        <v>394</v>
      </c>
      <c r="C20" s="33"/>
      <c r="D20" s="81"/>
      <c r="G20" s="33"/>
      <c r="H20" s="81"/>
      <c r="J20" s="32"/>
      <c r="K20" s="37" t="s">
        <v>297</v>
      </c>
      <c r="L20" s="37" t="s">
        <v>185</v>
      </c>
      <c r="M20" s="81"/>
      <c r="N20" s="81"/>
      <c r="O20" s="96"/>
      <c r="P20" s="33"/>
      <c r="Q20" s="34"/>
      <c r="R20" s="43" t="s">
        <v>160</v>
      </c>
      <c r="S20" s="35"/>
      <c r="T20" s="43" t="s">
        <v>400</v>
      </c>
      <c r="U20" s="43" t="s">
        <v>399</v>
      </c>
      <c r="V20" s="43" t="s">
        <v>397</v>
      </c>
      <c r="W20" s="43" t="s">
        <v>398</v>
      </c>
      <c r="X20" s="43" t="s">
        <v>401</v>
      </c>
      <c r="Y20" s="43" t="s">
        <v>403</v>
      </c>
      <c r="Z20" s="43" t="s">
        <v>402</v>
      </c>
      <c r="AA20" s="43" t="s">
        <v>186</v>
      </c>
      <c r="AB20" s="43" t="s">
        <v>345</v>
      </c>
      <c r="AC20" s="43" t="s">
        <v>404</v>
      </c>
      <c r="AD20" s="43" t="s">
        <v>346</v>
      </c>
      <c r="AE20" s="43" t="s">
        <v>405</v>
      </c>
      <c r="AF20" s="43" t="s">
        <v>406</v>
      </c>
      <c r="AG20" s="43" t="s">
        <v>578</v>
      </c>
      <c r="AH20" s="35" t="s">
        <v>190</v>
      </c>
      <c r="AI20" s="35" t="s">
        <v>249</v>
      </c>
      <c r="AJ20" s="35" t="s">
        <v>191</v>
      </c>
      <c r="AK20" s="104"/>
      <c r="AL20" s="35"/>
      <c r="AM20" s="35"/>
      <c r="AN20" s="36"/>
      <c r="AO20" s="36"/>
      <c r="AP20" s="36"/>
      <c r="AQ20" s="36"/>
      <c r="AR20" s="36"/>
      <c r="AS20" s="36"/>
      <c r="AT20" s="36"/>
      <c r="AU20" s="36"/>
      <c r="AV20" s="36"/>
      <c r="AW20" s="36"/>
      <c r="AX20" s="36"/>
      <c r="AY20" s="36"/>
      <c r="AZ20" s="36"/>
      <c r="BA20" s="36"/>
      <c r="BB20" s="36"/>
      <c r="BC20" s="36"/>
      <c r="BD20" s="36"/>
      <c r="BE20" s="36"/>
    </row>
    <row r="21" spans="2:57" s="30" customFormat="1" ht="30" x14ac:dyDescent="0.2">
      <c r="B21" s="166" t="s">
        <v>455</v>
      </c>
      <c r="C21" s="471" t="s">
        <v>298</v>
      </c>
      <c r="D21" s="472"/>
      <c r="E21" s="472"/>
      <c r="F21" s="472"/>
      <c r="G21" s="473"/>
      <c r="H21" s="165"/>
      <c r="J21" s="169" t="s">
        <v>395</v>
      </c>
      <c r="K21" s="92" t="str">
        <f>IFERROR(IF(ISNUMBER(L21),L21,(VLOOKUP(C21,Kalusto!$C$45:$L$84,5,FALSE)*(VLOOKUP(C22,Muut!$D$40:$E$43,2,FALSE)))),"--")</f>
        <v>--</v>
      </c>
      <c r="L21" s="39"/>
      <c r="M21" s="40" t="s">
        <v>184</v>
      </c>
      <c r="N21" s="40"/>
      <c r="O21" s="259"/>
      <c r="Q21" s="45"/>
      <c r="R21" s="213" t="str">
        <f>IF(AND(NOT(ISNUMBER(AB21)),NOT(ISNUMBER(AG21))),"",IF(ISNUMBER(AB21),AB21,0)+IF(ISNUMBER(AG21),AG21,0))</f>
        <v/>
      </c>
      <c r="S21" s="98" t="s">
        <v>438</v>
      </c>
      <c r="T21" s="211" t="str">
        <f>IFERROR(IF(ISNUMBER(L21),"Kohdetieto",VLOOKUP(C21,Kalusto!$C$45:$L$84,7,FALSE)),"--")</f>
        <v>--</v>
      </c>
      <c r="U21" s="211" t="str">
        <f>IFERROR(IF(ISNUMBER(L21),"Kohdetieto",VLOOKUP(C21,Kalusto!$C$45:$L$84,8,FALSE)),"--")</f>
        <v>--</v>
      </c>
      <c r="V21" s="212" t="str">
        <f>IFERROR(IF(ISNUMBER(L21),"Kohdetieto",VLOOKUP(C21,Kalusto!$C$45:$L$84,9,FALSE)),"--")</f>
        <v>--</v>
      </c>
      <c r="W21" s="212" t="str">
        <f>IFERROR(IF(ISNUMBER(L21),"Kohdetieto",VLOOKUP(C21,Kalusto!$C$45:$L$84,10,FALSE)),"--")</f>
        <v>--</v>
      </c>
      <c r="X21" s="213" t="str">
        <f>IF(ISBLANK(C23),"",C23)</f>
        <v/>
      </c>
      <c r="Y21" s="211" t="str">
        <f>IF(ISNUMBER(C24),C24,"")</f>
        <v/>
      </c>
      <c r="Z21" s="213" t="str">
        <f>IF(ISNUMBER(X21/(U21*V21)*Y21),X21/(U21*V21)*Y21,"")</f>
        <v/>
      </c>
      <c r="AA21" s="214" t="str">
        <f>IF(ISNUMBER(L21),L21,K21)</f>
        <v>--</v>
      </c>
      <c r="AB21" s="213" t="str">
        <f>IF(ISNUMBER(Y21*X21*K21),Y21*X21*K21,"")</f>
        <v/>
      </c>
      <c r="AC21" s="213" t="str">
        <f>IF(C$26="Kyllä",Y21,"")</f>
        <v/>
      </c>
      <c r="AD21" s="213" t="str">
        <f>IF(C$26="Kyllä",IF(ISNUMBER(X21/(U21*V21)),CEILING(X21/(U21*V21),1),""),"")</f>
        <v/>
      </c>
      <c r="AE21" s="48" t="str">
        <f>IF(ISNUMBER(AD21*AC21),AD21*AC21,"")</f>
        <v/>
      </c>
      <c r="AF21" s="49" t="str">
        <f>IF(ISNUMBER(L23),L23,K23)</f>
        <v>--</v>
      </c>
      <c r="AG21" s="48" t="str">
        <f>IF(ISNUMBER(AC21*AD21*K23),AC21*AD21*K23,"")</f>
        <v/>
      </c>
      <c r="AH21" s="46">
        <f>IF(T21="Jakelukuorma-auto",0,IF(T21="Maansiirtoauto",4,IF(T21="Puoliperävaunu",6,8)))</f>
        <v>8</v>
      </c>
      <c r="AI21" s="46">
        <f>IF(AND(T21="Jakelukuorma-auto",U21=6),0,IF(AND(T21="Jakelukuorma-auto",U21=15),2,0))</f>
        <v>0</v>
      </c>
      <c r="AJ21" s="46">
        <f>IF(W21="maantieajo",0,1)</f>
        <v>1</v>
      </c>
      <c r="AK21" s="104"/>
      <c r="AL21" s="35"/>
      <c r="AM21" s="35"/>
      <c r="AN21" s="36"/>
      <c r="AO21" s="36"/>
      <c r="AP21" s="36"/>
      <c r="AQ21" s="36"/>
      <c r="AR21" s="36"/>
      <c r="AS21" s="36"/>
      <c r="AT21" s="36"/>
      <c r="AU21" s="36"/>
      <c r="AV21" s="36"/>
      <c r="AW21" s="36"/>
      <c r="AX21" s="36"/>
      <c r="AY21" s="36"/>
      <c r="AZ21" s="36"/>
      <c r="BA21" s="36"/>
      <c r="BB21" s="36"/>
      <c r="BC21" s="36"/>
      <c r="BD21" s="36"/>
      <c r="BE21" s="36"/>
    </row>
    <row r="22" spans="2:57" s="30" customFormat="1" ht="15" x14ac:dyDescent="0.2">
      <c r="B22" s="182" t="s">
        <v>457</v>
      </c>
      <c r="C22" s="156" t="s">
        <v>309</v>
      </c>
      <c r="D22" s="33"/>
      <c r="E22" s="33"/>
      <c r="F22" s="33"/>
      <c r="G22" s="33"/>
      <c r="H22" s="57"/>
      <c r="J22" s="169"/>
      <c r="K22" s="169"/>
      <c r="L22" s="169"/>
      <c r="M22" s="40"/>
      <c r="N22" s="40"/>
      <c r="O22" s="259"/>
      <c r="Q22" s="45"/>
      <c r="R22" s="43"/>
      <c r="S22" s="35"/>
      <c r="T22" s="43"/>
      <c r="U22" s="43"/>
      <c r="V22" s="215"/>
      <c r="W22" s="215"/>
      <c r="X22" s="216"/>
      <c r="Y22" s="43"/>
      <c r="Z22" s="216"/>
      <c r="AA22" s="217"/>
      <c r="AB22" s="216"/>
      <c r="AC22" s="216"/>
      <c r="AD22" s="216"/>
      <c r="AE22" s="59"/>
      <c r="AF22" s="178"/>
      <c r="AG22" s="59"/>
      <c r="AH22" s="35"/>
      <c r="AI22" s="35"/>
      <c r="AJ22" s="35"/>
      <c r="AK22" s="104"/>
      <c r="AL22" s="35"/>
      <c r="AM22" s="35"/>
      <c r="AN22" s="36"/>
      <c r="AO22" s="36"/>
      <c r="AP22" s="36"/>
      <c r="AQ22" s="36"/>
      <c r="AR22" s="36"/>
      <c r="AS22" s="36"/>
      <c r="AT22" s="36"/>
      <c r="AU22" s="36"/>
      <c r="AV22" s="36"/>
      <c r="AW22" s="36"/>
      <c r="AX22" s="36"/>
      <c r="AY22" s="36"/>
      <c r="AZ22" s="36"/>
      <c r="BA22" s="36"/>
      <c r="BB22" s="36"/>
      <c r="BC22" s="36"/>
      <c r="BD22" s="36"/>
      <c r="BE22" s="36"/>
    </row>
    <row r="23" spans="2:57" s="30" customFormat="1" ht="15" x14ac:dyDescent="0.2">
      <c r="B23" s="44" t="s">
        <v>456</v>
      </c>
      <c r="C23" s="152"/>
      <c r="D23" s="81" t="s">
        <v>52</v>
      </c>
      <c r="G23" s="33"/>
      <c r="H23" s="81"/>
      <c r="J23" s="32" t="s">
        <v>396</v>
      </c>
      <c r="K23" s="92" t="str">
        <f>IFERROR(IF(ISNUMBER(L23),L23,IF($C$26="Ei","",(VLOOKUP(C21,Kalusto!$C$45:$V$84,19,FALSE)*(VLOOKUP(C22,Muut!$D$40:$E$43,2,FALSE))))),"--")</f>
        <v>--</v>
      </c>
      <c r="L23" s="39"/>
      <c r="M23" s="40" t="s">
        <v>188</v>
      </c>
      <c r="N23" s="40"/>
      <c r="O23" s="259"/>
      <c r="P23" s="33"/>
      <c r="Q23" s="50"/>
      <c r="R23" s="213" t="str">
        <f>IF(ISNUMBER(R21),R21,"")</f>
        <v/>
      </c>
      <c r="S23" s="98" t="s">
        <v>439</v>
      </c>
      <c r="T23" s="43"/>
      <c r="U23" s="43"/>
      <c r="V23" s="43"/>
      <c r="W23" s="43"/>
      <c r="X23" s="43"/>
      <c r="Y23" s="43"/>
      <c r="Z23" s="43"/>
      <c r="AA23" s="43"/>
      <c r="AB23" s="43"/>
      <c r="AC23" s="43"/>
      <c r="AD23" s="43"/>
      <c r="AE23" s="35"/>
      <c r="AF23" s="35"/>
      <c r="AG23" s="35"/>
      <c r="AH23" s="35"/>
      <c r="AI23" s="35"/>
      <c r="AJ23" s="35"/>
      <c r="AK23" s="35"/>
      <c r="AL23" s="35"/>
      <c r="AM23" s="35"/>
      <c r="AN23" s="36"/>
      <c r="AO23" s="36"/>
      <c r="AP23" s="36"/>
      <c r="AQ23" s="36"/>
      <c r="AR23" s="36"/>
      <c r="AS23" s="36"/>
      <c r="AT23" s="36"/>
      <c r="AU23" s="36"/>
      <c r="AV23" s="36"/>
      <c r="AW23" s="36"/>
      <c r="AX23" s="36"/>
      <c r="AY23" s="36"/>
      <c r="AZ23" s="36"/>
      <c r="BA23" s="36"/>
      <c r="BB23" s="36"/>
      <c r="BC23" s="36"/>
      <c r="BD23" s="36"/>
      <c r="BE23" s="36"/>
    </row>
    <row r="24" spans="2:57" s="30" customFormat="1" ht="15" x14ac:dyDescent="0.2">
      <c r="B24" s="44" t="s">
        <v>458</v>
      </c>
      <c r="C24" s="152"/>
      <c r="D24" s="81" t="s">
        <v>5</v>
      </c>
      <c r="G24" s="33"/>
      <c r="H24" s="81"/>
      <c r="I24" s="51"/>
      <c r="J24" s="51"/>
      <c r="K24" s="33"/>
      <c r="L24" s="33"/>
      <c r="M24" s="81"/>
      <c r="N24" s="81"/>
      <c r="O24" s="96"/>
      <c r="P24" s="51"/>
      <c r="Q24" s="50"/>
      <c r="R24" s="43"/>
      <c r="S24" s="35"/>
      <c r="T24" s="43"/>
      <c r="U24" s="43"/>
      <c r="V24" s="43"/>
      <c r="W24" s="43"/>
      <c r="X24" s="43"/>
      <c r="Y24" s="43"/>
      <c r="Z24" s="43"/>
      <c r="AA24" s="43"/>
      <c r="AB24" s="43"/>
      <c r="AC24" s="43"/>
      <c r="AD24" s="43"/>
      <c r="AE24" s="35"/>
      <c r="AF24" s="35"/>
      <c r="AG24" s="35"/>
      <c r="AH24" s="35"/>
      <c r="AI24" s="35"/>
      <c r="AJ24" s="35"/>
      <c r="AK24" s="35"/>
      <c r="AL24" s="35"/>
      <c r="AM24" s="35"/>
      <c r="AN24" s="36"/>
      <c r="AO24" s="36"/>
      <c r="AP24" s="36"/>
      <c r="AQ24" s="36"/>
      <c r="AR24" s="36"/>
      <c r="AS24" s="36"/>
      <c r="AT24" s="36"/>
      <c r="AU24" s="36"/>
      <c r="AV24" s="36"/>
      <c r="AW24" s="36"/>
      <c r="AX24" s="36"/>
      <c r="AY24" s="36"/>
      <c r="AZ24" s="36"/>
      <c r="BA24" s="36"/>
      <c r="BB24" s="36"/>
      <c r="BC24" s="36"/>
      <c r="BD24" s="36"/>
      <c r="BE24" s="36"/>
    </row>
    <row r="25" spans="2:57" s="30" customFormat="1" ht="15" x14ac:dyDescent="0.2">
      <c r="C25" s="33"/>
      <c r="D25" s="81"/>
      <c r="G25" s="33"/>
      <c r="H25" s="81"/>
      <c r="J25" s="32"/>
      <c r="K25" s="33"/>
      <c r="L25" s="33"/>
      <c r="M25" s="81"/>
      <c r="N25" s="81"/>
      <c r="O25" s="96"/>
      <c r="Q25" s="34"/>
      <c r="R25" s="43"/>
      <c r="S25" s="35"/>
      <c r="T25" s="43"/>
      <c r="U25" s="43"/>
      <c r="V25" s="43"/>
      <c r="W25" s="43"/>
      <c r="X25" s="43"/>
      <c r="Y25" s="43"/>
      <c r="Z25" s="43"/>
      <c r="AA25" s="43"/>
      <c r="AB25" s="43"/>
      <c r="AC25" s="43"/>
      <c r="AD25" s="43"/>
      <c r="AE25" s="35"/>
      <c r="AF25" s="35"/>
      <c r="AG25" s="35"/>
      <c r="AH25" s="35"/>
      <c r="AI25" s="35"/>
      <c r="AJ25" s="35"/>
      <c r="AK25" s="35"/>
      <c r="AL25" s="35"/>
      <c r="AM25" s="35"/>
      <c r="AN25" s="36"/>
      <c r="AO25" s="36"/>
      <c r="AP25" s="36"/>
      <c r="AQ25" s="36"/>
      <c r="AR25" s="36"/>
      <c r="AS25" s="36"/>
      <c r="AT25" s="36"/>
      <c r="AU25" s="36"/>
      <c r="AV25" s="36"/>
      <c r="AW25" s="36"/>
      <c r="AX25" s="36"/>
      <c r="AY25" s="36"/>
      <c r="AZ25" s="36"/>
      <c r="BA25" s="36"/>
      <c r="BB25" s="36"/>
      <c r="BC25" s="36"/>
      <c r="BD25" s="36"/>
      <c r="BE25" s="36"/>
    </row>
    <row r="26" spans="2:57" s="30" customFormat="1" ht="45" x14ac:dyDescent="0.2">
      <c r="B26" s="76" t="s">
        <v>606</v>
      </c>
      <c r="C26" s="471" t="s">
        <v>6</v>
      </c>
      <c r="D26" s="473"/>
      <c r="G26" s="80" t="str">
        <f>C26</f>
        <v>Kyllä</v>
      </c>
      <c r="H26" s="81"/>
      <c r="J26" s="32"/>
      <c r="K26" s="33"/>
      <c r="L26" s="33"/>
      <c r="M26" s="81"/>
      <c r="N26" s="81"/>
      <c r="O26" s="96"/>
      <c r="Q26" s="34"/>
      <c r="R26" s="102"/>
      <c r="S26" s="35"/>
      <c r="T26" s="43"/>
      <c r="U26" s="43"/>
      <c r="V26" s="43"/>
      <c r="W26" s="43"/>
      <c r="X26" s="43"/>
      <c r="Y26" s="43"/>
      <c r="Z26" s="43"/>
      <c r="AA26" s="43"/>
      <c r="AB26" s="43"/>
      <c r="AC26" s="43"/>
      <c r="AD26" s="43"/>
      <c r="AE26" s="35"/>
      <c r="AF26" s="35"/>
      <c r="AG26" s="35"/>
      <c r="AH26" s="35"/>
      <c r="AI26" s="35"/>
      <c r="AJ26" s="35"/>
      <c r="AK26" s="35"/>
      <c r="AL26" s="35"/>
      <c r="AM26" s="35"/>
      <c r="AN26" s="36"/>
      <c r="AO26" s="36"/>
      <c r="AP26" s="36"/>
      <c r="AQ26" s="36"/>
      <c r="AR26" s="36"/>
      <c r="AS26" s="36"/>
      <c r="AT26" s="36"/>
      <c r="AU26" s="36"/>
      <c r="AV26" s="36"/>
      <c r="AW26" s="36"/>
      <c r="AX26" s="36"/>
      <c r="AY26" s="36"/>
      <c r="AZ26" s="36"/>
      <c r="BA26" s="36"/>
      <c r="BB26" s="36"/>
      <c r="BC26" s="36"/>
      <c r="BD26" s="36"/>
      <c r="BE26" s="36"/>
    </row>
    <row r="27" spans="2:57" s="30" customFormat="1" ht="15" x14ac:dyDescent="0.2">
      <c r="C27" s="33"/>
      <c r="D27" s="81"/>
      <c r="G27" s="33"/>
      <c r="H27" s="81"/>
      <c r="K27" s="33"/>
      <c r="L27" s="33"/>
      <c r="M27" s="81"/>
      <c r="N27" s="81"/>
      <c r="O27" s="81"/>
      <c r="Q27" s="34"/>
      <c r="R27" s="102"/>
      <c r="S27" s="35"/>
      <c r="T27" s="43"/>
      <c r="U27" s="43"/>
      <c r="V27" s="43"/>
      <c r="W27" s="43"/>
      <c r="X27" s="43"/>
      <c r="Y27" s="43"/>
      <c r="Z27" s="43"/>
      <c r="AA27" s="43"/>
      <c r="AB27" s="43"/>
      <c r="AC27" s="43"/>
      <c r="AD27" s="43"/>
      <c r="AE27" s="35"/>
      <c r="AF27" s="35"/>
      <c r="AG27" s="35"/>
      <c r="AH27" s="35"/>
      <c r="AI27" s="35"/>
      <c r="AJ27" s="35"/>
      <c r="AK27" s="35"/>
      <c r="AL27" s="35"/>
      <c r="AM27" s="35"/>
      <c r="AN27" s="36"/>
      <c r="AO27" s="36"/>
      <c r="AP27" s="36"/>
      <c r="AQ27" s="36"/>
      <c r="AR27" s="36"/>
      <c r="AS27" s="36"/>
      <c r="AT27" s="36"/>
      <c r="AU27" s="36"/>
      <c r="AV27" s="36"/>
      <c r="AW27" s="36"/>
      <c r="AX27" s="36"/>
      <c r="AY27" s="36"/>
      <c r="AZ27" s="36"/>
      <c r="BA27" s="36"/>
      <c r="BB27" s="36"/>
      <c r="BC27" s="36"/>
      <c r="BD27" s="36"/>
      <c r="BE27" s="36"/>
    </row>
    <row r="28" spans="2:57" s="289" customFormat="1" ht="18" x14ac:dyDescent="0.2">
      <c r="B28" s="286" t="s">
        <v>459</v>
      </c>
      <c r="C28" s="287"/>
      <c r="D28" s="288"/>
      <c r="G28" s="287"/>
      <c r="H28" s="288"/>
      <c r="K28" s="287"/>
      <c r="L28" s="287"/>
      <c r="M28" s="288"/>
      <c r="N28" s="288"/>
      <c r="O28" s="291"/>
      <c r="P28" s="311"/>
      <c r="Q28" s="295"/>
      <c r="S28" s="294"/>
      <c r="T28" s="294"/>
      <c r="U28" s="294"/>
      <c r="V28" s="294"/>
      <c r="W28" s="294"/>
      <c r="X28" s="294"/>
      <c r="Y28" s="294"/>
      <c r="Z28" s="294"/>
      <c r="AA28" s="294"/>
      <c r="AB28" s="294"/>
      <c r="AC28" s="294"/>
      <c r="AD28" s="294"/>
      <c r="AE28" s="294"/>
      <c r="AF28" s="294"/>
      <c r="AG28" s="294"/>
      <c r="AH28" s="294"/>
      <c r="AI28" s="294"/>
      <c r="AJ28" s="294"/>
      <c r="AK28" s="294"/>
      <c r="AL28" s="294"/>
      <c r="AM28" s="294"/>
      <c r="AN28" s="295"/>
      <c r="AO28" s="295"/>
      <c r="AP28" s="295"/>
      <c r="AQ28" s="295"/>
      <c r="AR28" s="295"/>
      <c r="AS28" s="295"/>
      <c r="AT28" s="295"/>
      <c r="AU28" s="295"/>
      <c r="AV28" s="295"/>
      <c r="AW28" s="295"/>
      <c r="AX28" s="295"/>
      <c r="AY28" s="295"/>
      <c r="AZ28" s="295"/>
      <c r="BA28" s="295"/>
      <c r="BB28" s="295"/>
      <c r="BC28" s="295"/>
      <c r="BD28" s="295"/>
      <c r="BE28" s="295"/>
    </row>
    <row r="29" spans="2:57" s="30" customFormat="1" ht="16.5" thickBot="1" x14ac:dyDescent="0.25">
      <c r="B29" s="8"/>
      <c r="C29" s="33"/>
      <c r="D29" s="81"/>
      <c r="G29" s="33"/>
      <c r="H29" s="81"/>
      <c r="J29" s="32"/>
      <c r="K29" s="37" t="s">
        <v>297</v>
      </c>
      <c r="L29" s="37" t="s">
        <v>185</v>
      </c>
      <c r="M29" s="83"/>
      <c r="N29" s="83"/>
      <c r="O29" s="249" t="s">
        <v>584</v>
      </c>
      <c r="P29" s="37"/>
      <c r="Q29" s="34"/>
      <c r="R29" s="216" t="s">
        <v>318</v>
      </c>
      <c r="S29" s="35"/>
      <c r="T29" s="43"/>
      <c r="U29" s="43"/>
      <c r="V29" s="43"/>
      <c r="W29" s="43"/>
      <c r="X29" s="43"/>
      <c r="Y29" s="43"/>
      <c r="Z29" s="43"/>
      <c r="AA29" s="43"/>
      <c r="AB29" s="43"/>
      <c r="AC29" s="43"/>
      <c r="AD29" s="43"/>
      <c r="AE29" s="35"/>
      <c r="AF29" s="35"/>
      <c r="AG29" s="35"/>
      <c r="AH29" s="35"/>
      <c r="AI29" s="35"/>
      <c r="AJ29" s="35"/>
      <c r="AK29" s="35"/>
      <c r="AL29" s="35"/>
      <c r="AM29" s="35"/>
      <c r="AN29" s="36"/>
      <c r="AO29" s="36"/>
      <c r="AP29" s="36"/>
      <c r="AQ29" s="36"/>
      <c r="AR29" s="36"/>
      <c r="AS29" s="36"/>
      <c r="AT29" s="36"/>
      <c r="AU29" s="36"/>
      <c r="AV29" s="36"/>
      <c r="AW29" s="36"/>
      <c r="AX29" s="36"/>
      <c r="AY29" s="36"/>
      <c r="AZ29" s="36"/>
      <c r="BA29" s="36"/>
      <c r="BB29" s="36"/>
      <c r="BC29" s="36"/>
      <c r="BD29" s="36"/>
      <c r="BE29" s="36"/>
    </row>
    <row r="30" spans="2:57" s="30" customFormat="1" ht="15.75" thickBot="1" x14ac:dyDescent="0.25">
      <c r="B30" s="38" t="s">
        <v>428</v>
      </c>
      <c r="C30" s="152"/>
      <c r="D30" s="85" t="s">
        <v>162</v>
      </c>
      <c r="E30" s="31"/>
      <c r="F30" s="31"/>
      <c r="G30" s="33"/>
      <c r="H30" s="81"/>
      <c r="J30" s="32" t="s">
        <v>410</v>
      </c>
      <c r="K30" s="92">
        <f>IF(ISNUMBER(L30),L30,Muut!$F$5)</f>
        <v>8.4</v>
      </c>
      <c r="L30" s="39"/>
      <c r="M30" s="40" t="s">
        <v>266</v>
      </c>
      <c r="N30" s="40"/>
      <c r="O30" s="250"/>
      <c r="Q30" s="34"/>
      <c r="R30" s="391" t="str">
        <f>IF(ISNUMBER(C30),IF(ISNUMBER(L30),L30*C30,K30*C30),"")</f>
        <v/>
      </c>
      <c r="S30" s="98" t="s">
        <v>317</v>
      </c>
      <c r="T30" s="218"/>
      <c r="U30" s="218"/>
      <c r="V30" s="218"/>
      <c r="W30" s="43"/>
      <c r="X30" s="43"/>
      <c r="Y30" s="43"/>
      <c r="Z30" s="43"/>
      <c r="AA30" s="43"/>
      <c r="AB30" s="43"/>
      <c r="AC30" s="43"/>
      <c r="AD30" s="43"/>
      <c r="AE30" s="35"/>
      <c r="AF30" s="35"/>
      <c r="AG30" s="35"/>
      <c r="AH30" s="35"/>
      <c r="AI30" s="35"/>
      <c r="AJ30" s="35"/>
      <c r="AK30" s="35"/>
      <c r="AL30" s="35"/>
      <c r="AM30" s="35"/>
      <c r="AN30" s="36"/>
      <c r="AO30" s="36"/>
      <c r="AP30" s="36"/>
      <c r="AQ30" s="36"/>
      <c r="AR30" s="36"/>
      <c r="AS30" s="36"/>
      <c r="AT30" s="36"/>
      <c r="AU30" s="36"/>
      <c r="AV30" s="36"/>
      <c r="AW30" s="36"/>
      <c r="AX30" s="36"/>
      <c r="AY30" s="36"/>
      <c r="AZ30" s="36"/>
      <c r="BA30" s="36"/>
      <c r="BB30" s="36"/>
      <c r="BC30" s="36"/>
      <c r="BD30" s="36"/>
      <c r="BE30" s="36"/>
    </row>
    <row r="31" spans="2:57" s="30" customFormat="1" ht="15" x14ac:dyDescent="0.2">
      <c r="B31" s="166" t="s">
        <v>460</v>
      </c>
      <c r="C31" s="156" t="s">
        <v>309</v>
      </c>
      <c r="D31" s="85"/>
      <c r="E31" s="31"/>
      <c r="F31" s="31"/>
      <c r="G31" s="33"/>
      <c r="H31" s="81"/>
      <c r="J31" s="32" t="s">
        <v>409</v>
      </c>
      <c r="K31" s="92" t="str">
        <f>IFERROR(Muut!$F$6*VLOOKUP(C31,Muut!$D$40:$E$43,2,FALSE),"--")</f>
        <v>--</v>
      </c>
      <c r="L31" s="39"/>
      <c r="M31" s="40" t="s">
        <v>266</v>
      </c>
      <c r="N31" s="40"/>
      <c r="O31" s="259"/>
      <c r="Q31" s="34"/>
      <c r="R31" s="389" t="str">
        <f>IF(ISNUMBER(C30),IF(ISNUMBER(L31),L31*C30,K31*C30),"")</f>
        <v/>
      </c>
      <c r="S31" s="98" t="s">
        <v>160</v>
      </c>
      <c r="T31" s="218"/>
      <c r="U31" s="218"/>
      <c r="V31" s="218"/>
      <c r="W31" s="43"/>
      <c r="X31" s="43"/>
      <c r="Y31" s="43"/>
      <c r="Z31" s="43"/>
      <c r="AA31" s="43"/>
      <c r="AB31" s="43"/>
      <c r="AC31" s="43"/>
      <c r="AD31" s="43"/>
      <c r="AE31" s="35"/>
      <c r="AF31" s="35"/>
      <c r="AG31" s="35"/>
      <c r="AH31" s="35"/>
      <c r="AI31" s="35"/>
      <c r="AJ31" s="35"/>
      <c r="AK31" s="35"/>
      <c r="AL31" s="35"/>
      <c r="AM31" s="35"/>
      <c r="AN31" s="36"/>
      <c r="AO31" s="36"/>
      <c r="AP31" s="36"/>
      <c r="AQ31" s="36"/>
      <c r="AR31" s="36"/>
      <c r="AS31" s="36"/>
      <c r="AT31" s="36"/>
      <c r="AU31" s="36"/>
      <c r="AV31" s="36"/>
      <c r="AW31" s="36"/>
      <c r="AX31" s="36"/>
      <c r="AY31" s="36"/>
      <c r="AZ31" s="36"/>
      <c r="BA31" s="36"/>
      <c r="BB31" s="36"/>
      <c r="BC31" s="36"/>
      <c r="BD31" s="36"/>
      <c r="BE31" s="36"/>
    </row>
    <row r="32" spans="2:57" s="30" customFormat="1" ht="15" x14ac:dyDescent="0.2">
      <c r="B32" s="38" t="s">
        <v>429</v>
      </c>
      <c r="C32" s="152"/>
      <c r="D32" s="85" t="s">
        <v>162</v>
      </c>
      <c r="E32" s="31"/>
      <c r="F32" s="31"/>
      <c r="G32" s="33"/>
      <c r="H32" s="81"/>
      <c r="J32" s="32" t="s">
        <v>408</v>
      </c>
      <c r="K32" s="92" t="str">
        <f>IFERROR(Muut!$F$7*VLOOKUP(C33,Muut!$D$40:$E$43,2,FALSE),"--")</f>
        <v>--</v>
      </c>
      <c r="L32" s="39"/>
      <c r="M32" s="40" t="s">
        <v>266</v>
      </c>
      <c r="N32" s="40"/>
      <c r="O32" s="259"/>
      <c r="Q32" s="34"/>
      <c r="R32" s="219" t="str">
        <f>IF(ISNUMBER(C32),IF(ISNUMBER(L32),L32*C32,K32*C32),"")</f>
        <v/>
      </c>
      <c r="S32" s="98" t="s">
        <v>160</v>
      </c>
      <c r="T32" s="218"/>
      <c r="U32" s="218"/>
      <c r="V32" s="218"/>
      <c r="W32" s="43"/>
      <c r="X32" s="43"/>
      <c r="Y32" s="43"/>
      <c r="Z32" s="43"/>
      <c r="AA32" s="43"/>
      <c r="AB32" s="43"/>
      <c r="AC32" s="43"/>
      <c r="AD32" s="43"/>
      <c r="AE32" s="35"/>
      <c r="AF32" s="35"/>
      <c r="AG32" s="35"/>
      <c r="AH32" s="35"/>
      <c r="AI32" s="35"/>
      <c r="AJ32" s="35"/>
      <c r="AK32" s="35"/>
      <c r="AL32" s="35"/>
      <c r="AM32" s="35"/>
      <c r="AN32" s="36"/>
      <c r="AO32" s="36"/>
      <c r="AP32" s="36"/>
      <c r="AQ32" s="36"/>
      <c r="AR32" s="36"/>
      <c r="AS32" s="36"/>
      <c r="AT32" s="36"/>
      <c r="AU32" s="36"/>
      <c r="AV32" s="36"/>
      <c r="AW32" s="36"/>
      <c r="AX32" s="36"/>
      <c r="AY32" s="36"/>
      <c r="AZ32" s="36"/>
      <c r="BA32" s="36"/>
      <c r="BB32" s="36"/>
      <c r="BC32" s="36"/>
      <c r="BD32" s="36"/>
      <c r="BE32" s="36"/>
    </row>
    <row r="33" spans="2:57" s="30" customFormat="1" ht="15" x14ac:dyDescent="0.2">
      <c r="B33" s="166" t="s">
        <v>460</v>
      </c>
      <c r="C33" s="156" t="s">
        <v>309</v>
      </c>
      <c r="D33" s="33"/>
      <c r="E33" s="33"/>
      <c r="F33" s="33"/>
      <c r="G33" s="33"/>
      <c r="H33" s="57"/>
      <c r="J33" s="169"/>
      <c r="K33" s="169"/>
      <c r="L33" s="169"/>
      <c r="M33" s="40"/>
      <c r="N33" s="40"/>
      <c r="O33" s="259"/>
      <c r="Q33" s="45"/>
      <c r="R33" s="390"/>
      <c r="S33" s="98"/>
      <c r="T33" s="43"/>
      <c r="U33" s="43"/>
      <c r="V33" s="215"/>
      <c r="W33" s="215"/>
      <c r="X33" s="216"/>
      <c r="Y33" s="43"/>
      <c r="Z33" s="216"/>
      <c r="AA33" s="217"/>
      <c r="AB33" s="216"/>
      <c r="AC33" s="216"/>
      <c r="AD33" s="216"/>
      <c r="AE33" s="59"/>
      <c r="AF33" s="178"/>
      <c r="AG33" s="59"/>
      <c r="AH33" s="35"/>
      <c r="AI33" s="35"/>
      <c r="AJ33" s="35"/>
      <c r="AK33" s="104"/>
      <c r="AL33" s="35"/>
      <c r="AM33" s="35"/>
      <c r="AN33" s="36"/>
      <c r="AO33" s="36"/>
      <c r="AP33" s="36"/>
      <c r="AQ33" s="36"/>
      <c r="AR33" s="36"/>
      <c r="AS33" s="36"/>
      <c r="AT33" s="36"/>
      <c r="AU33" s="36"/>
      <c r="AV33" s="36"/>
      <c r="AW33" s="36"/>
      <c r="AX33" s="36"/>
      <c r="AY33" s="36"/>
      <c r="AZ33" s="36"/>
      <c r="BA33" s="36"/>
      <c r="BB33" s="36"/>
      <c r="BC33" s="36"/>
      <c r="BD33" s="36"/>
      <c r="BE33" s="36"/>
    </row>
    <row r="34" spans="2:57" s="30" customFormat="1" ht="15" x14ac:dyDescent="0.2">
      <c r="B34" s="38" t="s">
        <v>358</v>
      </c>
      <c r="C34" s="152"/>
      <c r="D34" s="85" t="s">
        <v>163</v>
      </c>
      <c r="E34" s="31"/>
      <c r="F34" s="31"/>
      <c r="G34" s="33"/>
      <c r="H34" s="81"/>
      <c r="J34" s="32" t="s">
        <v>407</v>
      </c>
      <c r="K34" s="92" t="str">
        <f>IFERROR(Muut!$F$8*VLOOKUP(C35,Muut!$D$40:$E$43,2,FALSE),"--")</f>
        <v>--</v>
      </c>
      <c r="L34" s="39"/>
      <c r="M34" s="40" t="s">
        <v>207</v>
      </c>
      <c r="N34" s="40"/>
      <c r="O34" s="259"/>
      <c r="Q34" s="34"/>
      <c r="R34" s="219" t="str">
        <f>IF(ISNUMBER(C34),IF(ISNUMBER(L34),L34*C34,K34*C34),"")</f>
        <v/>
      </c>
      <c r="S34" s="98" t="s">
        <v>160</v>
      </c>
      <c r="T34" s="218"/>
      <c r="U34" s="218"/>
      <c r="V34" s="218"/>
      <c r="W34" s="43"/>
      <c r="X34" s="43"/>
      <c r="Y34" s="43"/>
      <c r="Z34" s="43"/>
      <c r="AA34" s="43"/>
      <c r="AB34" s="43"/>
      <c r="AC34" s="43"/>
      <c r="AD34" s="43"/>
      <c r="AE34" s="35"/>
      <c r="AF34" s="35"/>
      <c r="AG34" s="35"/>
      <c r="AH34" s="35"/>
      <c r="AI34" s="35"/>
      <c r="AJ34" s="35"/>
      <c r="AK34" s="35"/>
      <c r="AL34" s="35"/>
      <c r="AM34" s="35"/>
      <c r="AN34" s="36"/>
      <c r="AO34" s="36"/>
      <c r="AP34" s="36"/>
      <c r="AQ34" s="36"/>
      <c r="AR34" s="36"/>
      <c r="AS34" s="36"/>
      <c r="AT34" s="36"/>
      <c r="AU34" s="36"/>
      <c r="AV34" s="36"/>
      <c r="AW34" s="36"/>
      <c r="AX34" s="36"/>
      <c r="AY34" s="36"/>
      <c r="AZ34" s="36"/>
      <c r="BA34" s="36"/>
      <c r="BB34" s="36"/>
      <c r="BC34" s="36"/>
      <c r="BD34" s="36"/>
      <c r="BE34" s="36"/>
    </row>
    <row r="35" spans="2:57" s="30" customFormat="1" ht="15" x14ac:dyDescent="0.2">
      <c r="B35" s="166" t="s">
        <v>460</v>
      </c>
      <c r="C35" s="156" t="s">
        <v>309</v>
      </c>
      <c r="D35" s="33"/>
      <c r="E35" s="33"/>
      <c r="F35" s="33"/>
      <c r="G35" s="33"/>
      <c r="H35" s="57"/>
      <c r="J35" s="169"/>
      <c r="K35" s="169"/>
      <c r="L35" s="169"/>
      <c r="M35" s="40"/>
      <c r="N35" s="40"/>
      <c r="O35" s="259"/>
      <c r="Q35" s="45"/>
      <c r="R35" s="226"/>
      <c r="S35" s="98"/>
      <c r="T35" s="43"/>
      <c r="U35" s="43"/>
      <c r="V35" s="215"/>
      <c r="W35" s="215"/>
      <c r="X35" s="216"/>
      <c r="Y35" s="43"/>
      <c r="Z35" s="216"/>
      <c r="AA35" s="217"/>
      <c r="AB35" s="216"/>
      <c r="AC35" s="216"/>
      <c r="AD35" s="216"/>
      <c r="AE35" s="59"/>
      <c r="AF35" s="178"/>
      <c r="AG35" s="59"/>
      <c r="AH35" s="35"/>
      <c r="AI35" s="35"/>
      <c r="AJ35" s="35"/>
      <c r="AK35" s="104"/>
      <c r="AL35" s="35"/>
      <c r="AM35" s="35"/>
      <c r="AN35" s="36"/>
      <c r="AO35" s="36"/>
      <c r="AP35" s="36"/>
      <c r="AQ35" s="36"/>
      <c r="AR35" s="36"/>
      <c r="AS35" s="36"/>
      <c r="AT35" s="36"/>
      <c r="AU35" s="36"/>
      <c r="AV35" s="36"/>
      <c r="AW35" s="36"/>
      <c r="AX35" s="36"/>
      <c r="AY35" s="36"/>
      <c r="AZ35" s="36"/>
      <c r="BA35" s="36"/>
      <c r="BB35" s="36"/>
      <c r="BC35" s="36"/>
      <c r="BD35" s="36"/>
      <c r="BE35" s="36"/>
    </row>
    <row r="36" spans="2:57" s="30" customFormat="1" ht="15.75" x14ac:dyDescent="0.2">
      <c r="B36" s="8"/>
      <c r="C36" s="33"/>
      <c r="D36" s="81"/>
      <c r="G36" s="33"/>
      <c r="H36" s="81"/>
      <c r="K36" s="33"/>
      <c r="L36" s="33"/>
      <c r="M36" s="81"/>
      <c r="N36" s="81"/>
      <c r="O36" s="81"/>
      <c r="Q36" s="34"/>
      <c r="R36" s="43"/>
      <c r="S36" s="35"/>
      <c r="T36" s="43"/>
      <c r="U36" s="43"/>
      <c r="V36" s="43"/>
      <c r="W36" s="43"/>
      <c r="X36" s="43"/>
      <c r="Y36" s="43"/>
      <c r="Z36" s="43"/>
      <c r="AA36" s="43"/>
      <c r="AB36" s="43"/>
      <c r="AC36" s="43"/>
      <c r="AD36" s="43"/>
      <c r="AE36" s="35"/>
      <c r="AF36" s="35"/>
      <c r="AG36" s="35"/>
      <c r="AH36" s="35"/>
      <c r="AI36" s="35"/>
      <c r="AJ36" s="35"/>
      <c r="AK36" s="35"/>
      <c r="AL36" s="35"/>
      <c r="AM36" s="35"/>
      <c r="AN36" s="36"/>
      <c r="AO36" s="36"/>
      <c r="AP36" s="36"/>
      <c r="AQ36" s="36"/>
      <c r="AR36" s="36"/>
      <c r="AS36" s="36"/>
      <c r="AT36" s="36"/>
      <c r="AU36" s="36"/>
      <c r="AV36" s="36"/>
      <c r="AW36" s="36"/>
      <c r="AX36" s="36"/>
      <c r="AY36" s="36"/>
      <c r="AZ36" s="36"/>
      <c r="BA36" s="36"/>
      <c r="BB36" s="36"/>
      <c r="BC36" s="36"/>
      <c r="BD36" s="36"/>
      <c r="BE36" s="36"/>
    </row>
    <row r="37" spans="2:57" s="289" customFormat="1" ht="18" x14ac:dyDescent="0.2">
      <c r="B37" s="286" t="s">
        <v>541</v>
      </c>
      <c r="C37" s="287"/>
      <c r="D37" s="288"/>
      <c r="G37" s="287"/>
      <c r="H37" s="288"/>
      <c r="K37" s="287"/>
      <c r="L37" s="287"/>
      <c r="M37" s="288"/>
      <c r="N37" s="288"/>
      <c r="O37" s="291"/>
      <c r="P37" s="311"/>
      <c r="Q37" s="295"/>
      <c r="S37" s="294"/>
      <c r="T37" s="294"/>
      <c r="U37" s="294"/>
      <c r="V37" s="294"/>
      <c r="W37" s="294"/>
      <c r="X37" s="294"/>
      <c r="Y37" s="294"/>
      <c r="Z37" s="294"/>
      <c r="AA37" s="294"/>
      <c r="AB37" s="294"/>
      <c r="AC37" s="294"/>
      <c r="AD37" s="294"/>
      <c r="AE37" s="294"/>
      <c r="AF37" s="294"/>
      <c r="AG37" s="294"/>
      <c r="AH37" s="294"/>
      <c r="AI37" s="294"/>
      <c r="AJ37" s="294"/>
      <c r="AK37" s="294"/>
      <c r="AL37" s="294"/>
      <c r="AM37" s="294"/>
      <c r="AN37" s="295"/>
      <c r="AO37" s="295"/>
      <c r="AP37" s="295"/>
      <c r="AQ37" s="295"/>
      <c r="AR37" s="295"/>
      <c r="AS37" s="295"/>
      <c r="AT37" s="295"/>
      <c r="AU37" s="295"/>
      <c r="AV37" s="295"/>
      <c r="AW37" s="295"/>
      <c r="AX37" s="295"/>
      <c r="AY37" s="295"/>
      <c r="AZ37" s="295"/>
      <c r="BA37" s="295"/>
      <c r="BB37" s="295"/>
      <c r="BC37" s="295"/>
      <c r="BD37" s="295"/>
      <c r="BE37" s="295"/>
    </row>
    <row r="38" spans="2:57" s="30" customFormat="1" ht="15.75" x14ac:dyDescent="0.2">
      <c r="B38" s="8"/>
      <c r="D38" s="81"/>
      <c r="H38" s="81"/>
      <c r="J38" s="32"/>
      <c r="K38" s="37" t="s">
        <v>297</v>
      </c>
      <c r="L38" s="37" t="s">
        <v>185</v>
      </c>
      <c r="M38" s="81"/>
      <c r="N38" s="81"/>
      <c r="O38" s="249" t="s">
        <v>584</v>
      </c>
      <c r="P38" s="37"/>
      <c r="Q38" s="34"/>
      <c r="R38" s="216" t="s">
        <v>318</v>
      </c>
      <c r="S38" s="35"/>
      <c r="T38" s="43" t="s">
        <v>50</v>
      </c>
      <c r="U38" s="43" t="s">
        <v>319</v>
      </c>
      <c r="V38" s="43" t="s">
        <v>320</v>
      </c>
      <c r="W38" s="43"/>
      <c r="X38" s="43"/>
      <c r="Y38" s="43"/>
      <c r="Z38" s="43"/>
      <c r="AA38" s="43"/>
      <c r="AB38" s="43"/>
      <c r="AC38" s="43"/>
      <c r="AD38" s="43"/>
      <c r="AE38" s="35"/>
      <c r="AF38" s="35"/>
      <c r="AG38" s="35"/>
      <c r="AH38" s="35"/>
      <c r="AI38" s="35"/>
      <c r="AJ38" s="35"/>
      <c r="AK38" s="35"/>
      <c r="AL38" s="35"/>
      <c r="AM38" s="35"/>
      <c r="AN38" s="36"/>
      <c r="AO38" s="36"/>
      <c r="AP38" s="36"/>
      <c r="AQ38" s="36"/>
      <c r="AR38" s="36"/>
      <c r="AS38" s="36"/>
      <c r="AT38" s="36"/>
      <c r="AU38" s="36"/>
      <c r="AV38" s="36"/>
      <c r="AW38" s="36"/>
      <c r="AX38" s="36"/>
      <c r="AY38" s="36"/>
      <c r="AZ38" s="36"/>
      <c r="BA38" s="36"/>
      <c r="BB38" s="36"/>
      <c r="BC38" s="36"/>
      <c r="BD38" s="36"/>
      <c r="BE38" s="36"/>
    </row>
    <row r="39" spans="2:57" s="30" customFormat="1" ht="30" x14ac:dyDescent="0.2">
      <c r="B39" s="76" t="s">
        <v>523</v>
      </c>
      <c r="C39" s="179"/>
      <c r="D39" s="86" t="s">
        <v>163</v>
      </c>
      <c r="H39" s="81"/>
      <c r="J39" s="32" t="s">
        <v>424</v>
      </c>
      <c r="K39" s="106" t="str">
        <f>IFERROR(IF(ISNUMBER(L39),L39,(VLOOKUP(C40,Kalusto!$C$5:$E$42,3,FALSE))*(VLOOKUP(C41,Muut!$D$40:$E$43,2,FALSE))),"--")</f>
        <v>--</v>
      </c>
      <c r="L39" s="39"/>
      <c r="M39" s="40" t="s">
        <v>189</v>
      </c>
      <c r="N39" s="40"/>
      <c r="O39" s="250"/>
      <c r="P39" s="147"/>
      <c r="Q39" s="36"/>
      <c r="R39" s="213" t="str">
        <f>IF(ISNUMBER(K39*V39),K39*V39,"")</f>
        <v/>
      </c>
      <c r="S39" s="98" t="s">
        <v>160</v>
      </c>
      <c r="T39" s="213" t="str">
        <f>IF(ISNUMBER(C39),C39,"")</f>
        <v/>
      </c>
      <c r="U39" s="219">
        <f>IF(D42="h","",IF(ISNUMBER(C42),C42,""))</f>
        <v>1.2E-2</v>
      </c>
      <c r="V39" s="213" t="str">
        <f>IF(ISNUMBER(T39),IF(D42="h",C42,IF(ISNUMBER(T39*U39),IF(D42="m3/h",T39/U39,T39*U39),"")),"")</f>
        <v/>
      </c>
      <c r="W39" s="220"/>
      <c r="X39" s="216"/>
      <c r="Y39" s="43"/>
      <c r="Z39" s="43"/>
      <c r="AA39" s="221"/>
      <c r="AB39" s="43"/>
      <c r="AC39" s="43"/>
      <c r="AD39" s="43"/>
      <c r="AE39" s="35"/>
      <c r="AF39" s="35"/>
      <c r="AG39" s="35"/>
      <c r="AH39" s="35"/>
      <c r="AI39" s="35"/>
      <c r="AJ39" s="35"/>
      <c r="AK39" s="35"/>
      <c r="AL39" s="35"/>
      <c r="AM39" s="35"/>
      <c r="AN39" s="36"/>
      <c r="AO39" s="36"/>
      <c r="AP39" s="36"/>
      <c r="AQ39" s="36"/>
      <c r="AR39" s="36"/>
      <c r="AS39" s="36"/>
      <c r="AT39" s="36"/>
      <c r="AU39" s="36"/>
      <c r="AV39" s="36"/>
      <c r="AW39" s="36"/>
      <c r="AX39" s="36"/>
      <c r="AY39" s="36"/>
      <c r="AZ39" s="36"/>
      <c r="BA39" s="36"/>
      <c r="BB39" s="36"/>
      <c r="BC39" s="36"/>
      <c r="BD39" s="36"/>
      <c r="BE39" s="36"/>
    </row>
    <row r="40" spans="2:57" s="30" customFormat="1" ht="15" x14ac:dyDescent="0.2">
      <c r="B40" s="52" t="s">
        <v>461</v>
      </c>
      <c r="C40" s="471" t="s">
        <v>300</v>
      </c>
      <c r="D40" s="472"/>
      <c r="E40" s="472"/>
      <c r="F40" s="472"/>
      <c r="G40" s="473"/>
      <c r="J40" s="32"/>
      <c r="K40" s="33"/>
      <c r="L40" s="33"/>
      <c r="M40" s="81"/>
      <c r="N40" s="81"/>
      <c r="O40" s="96"/>
      <c r="P40" s="143"/>
      <c r="Q40" s="101"/>
      <c r="R40" s="102"/>
      <c r="S40" s="35"/>
      <c r="T40" s="43"/>
      <c r="U40" s="43"/>
      <c r="V40" s="43"/>
      <c r="W40" s="43"/>
      <c r="X40" s="43"/>
      <c r="Y40" s="43"/>
      <c r="Z40" s="43"/>
      <c r="AA40" s="43"/>
      <c r="AB40" s="43"/>
      <c r="AC40" s="43"/>
      <c r="AD40" s="43"/>
      <c r="AE40" s="35"/>
      <c r="AF40" s="35"/>
      <c r="AG40" s="35"/>
      <c r="AH40" s="35"/>
      <c r="AI40" s="35"/>
      <c r="AJ40" s="35"/>
      <c r="AK40" s="35"/>
      <c r="AL40" s="35"/>
      <c r="AM40" s="35"/>
      <c r="AN40" s="36"/>
      <c r="AO40" s="36"/>
      <c r="AP40" s="36"/>
      <c r="AQ40" s="36"/>
      <c r="AR40" s="36"/>
      <c r="AS40" s="36"/>
      <c r="AT40" s="36"/>
      <c r="AU40" s="36"/>
      <c r="AV40" s="36"/>
      <c r="AW40" s="36"/>
      <c r="AX40" s="36"/>
      <c r="AY40" s="36"/>
      <c r="AZ40" s="36"/>
      <c r="BA40" s="36"/>
      <c r="BB40" s="36"/>
      <c r="BC40" s="36"/>
      <c r="BD40" s="36"/>
      <c r="BE40" s="36"/>
    </row>
    <row r="41" spans="2:57" s="30" customFormat="1" ht="15" x14ac:dyDescent="0.2">
      <c r="B41" s="166" t="s">
        <v>460</v>
      </c>
      <c r="C41" s="156" t="s">
        <v>309</v>
      </c>
      <c r="D41" s="33"/>
      <c r="E41" s="33"/>
      <c r="F41" s="33"/>
      <c r="G41" s="33"/>
      <c r="H41" s="57"/>
      <c r="J41" s="169"/>
      <c r="K41" s="169"/>
      <c r="L41" s="169"/>
      <c r="M41" s="40"/>
      <c r="N41" s="40"/>
      <c r="O41" s="259"/>
      <c r="Q41" s="45"/>
      <c r="R41" s="226"/>
      <c r="S41" s="98"/>
      <c r="T41" s="43"/>
      <c r="U41" s="43"/>
      <c r="V41" s="215"/>
      <c r="W41" s="215"/>
      <c r="X41" s="216"/>
      <c r="Y41" s="43"/>
      <c r="Z41" s="216"/>
      <c r="AA41" s="217"/>
      <c r="AB41" s="216"/>
      <c r="AC41" s="216"/>
      <c r="AD41" s="216"/>
      <c r="AE41" s="59"/>
      <c r="AF41" s="178"/>
      <c r="AG41" s="59"/>
      <c r="AH41" s="35"/>
      <c r="AI41" s="35"/>
      <c r="AJ41" s="35"/>
      <c r="AK41" s="104"/>
      <c r="AL41" s="35"/>
      <c r="AM41" s="35"/>
      <c r="AN41" s="36"/>
      <c r="AO41" s="36"/>
      <c r="AP41" s="36"/>
      <c r="AQ41" s="36"/>
      <c r="AR41" s="36"/>
      <c r="AS41" s="36"/>
      <c r="AT41" s="36"/>
      <c r="AU41" s="36"/>
      <c r="AV41" s="36"/>
      <c r="AW41" s="36"/>
      <c r="AX41" s="36"/>
      <c r="AY41" s="36"/>
      <c r="AZ41" s="36"/>
      <c r="BA41" s="36"/>
      <c r="BB41" s="36"/>
      <c r="BC41" s="36"/>
      <c r="BD41" s="36"/>
      <c r="BE41" s="36"/>
    </row>
    <row r="42" spans="2:57" s="30" customFormat="1" ht="30" x14ac:dyDescent="0.2">
      <c r="B42" s="76" t="s">
        <v>462</v>
      </c>
      <c r="C42" s="202">
        <v>1.2E-2</v>
      </c>
      <c r="D42" s="86" t="s">
        <v>147</v>
      </c>
      <c r="H42" s="81"/>
      <c r="J42" s="167" t="s">
        <v>650</v>
      </c>
      <c r="M42" s="81"/>
      <c r="N42" s="81"/>
      <c r="O42" s="96"/>
      <c r="P42" s="145"/>
      <c r="Q42" s="101"/>
      <c r="R42" s="102"/>
      <c r="S42" s="35"/>
      <c r="T42" s="43"/>
      <c r="U42" s="43"/>
      <c r="V42" s="43"/>
      <c r="W42" s="43"/>
      <c r="X42" s="43"/>
      <c r="Y42" s="43"/>
      <c r="Z42" s="43"/>
      <c r="AA42" s="43"/>
      <c r="AB42" s="43"/>
      <c r="AC42" s="43"/>
      <c r="AD42" s="43"/>
      <c r="AE42" s="35"/>
      <c r="AF42" s="35"/>
      <c r="AG42" s="35"/>
      <c r="AH42" s="35"/>
      <c r="AI42" s="35"/>
      <c r="AJ42" s="35"/>
      <c r="AK42" s="35"/>
      <c r="AL42" s="35"/>
      <c r="AM42" s="35"/>
      <c r="AN42" s="36"/>
      <c r="AO42" s="36"/>
      <c r="AP42" s="36"/>
      <c r="AQ42" s="36"/>
      <c r="AR42" s="36"/>
      <c r="AS42" s="36"/>
      <c r="AT42" s="36"/>
      <c r="AU42" s="36"/>
      <c r="AV42" s="36"/>
      <c r="AW42" s="36"/>
      <c r="AX42" s="36"/>
      <c r="AY42" s="36"/>
      <c r="AZ42" s="36"/>
      <c r="BA42" s="36"/>
      <c r="BB42" s="36"/>
      <c r="BC42" s="36"/>
      <c r="BD42" s="36"/>
      <c r="BE42" s="36"/>
    </row>
    <row r="43" spans="2:57" s="30" customFormat="1" ht="15" x14ac:dyDescent="0.2">
      <c r="C43" s="63"/>
      <c r="D43" s="81"/>
      <c r="H43" s="81"/>
      <c r="J43" s="32"/>
      <c r="M43" s="81"/>
      <c r="N43" s="81"/>
      <c r="O43" s="81"/>
      <c r="Q43" s="34"/>
      <c r="R43" s="102"/>
      <c r="S43" s="35"/>
      <c r="T43" s="43"/>
      <c r="U43" s="43"/>
      <c r="V43" s="43"/>
      <c r="W43" s="43"/>
      <c r="X43" s="43"/>
      <c r="Y43" s="43"/>
      <c r="Z43" s="43"/>
      <c r="AA43" s="43"/>
      <c r="AB43" s="43"/>
      <c r="AC43" s="43"/>
      <c r="AD43" s="43"/>
      <c r="AE43" s="35"/>
      <c r="AF43" s="35"/>
      <c r="AG43" s="35"/>
      <c r="AH43" s="35"/>
      <c r="AI43" s="35"/>
      <c r="AJ43" s="35"/>
      <c r="AK43" s="35"/>
      <c r="AL43" s="35"/>
      <c r="AM43" s="35"/>
      <c r="AN43" s="36"/>
      <c r="AO43" s="36"/>
      <c r="AP43" s="36"/>
      <c r="AQ43" s="36"/>
      <c r="AR43" s="36"/>
      <c r="AS43" s="36"/>
      <c r="AT43" s="36"/>
      <c r="AU43" s="36"/>
      <c r="AV43" s="36"/>
      <c r="AW43" s="36"/>
      <c r="AX43" s="36"/>
      <c r="AY43" s="36"/>
      <c r="AZ43" s="36"/>
      <c r="BA43" s="36"/>
      <c r="BB43" s="36"/>
      <c r="BC43" s="36"/>
      <c r="BD43" s="36"/>
      <c r="BE43" s="36"/>
    </row>
    <row r="44" spans="2:57" s="289" customFormat="1" ht="18" x14ac:dyDescent="0.2">
      <c r="B44" s="286" t="s">
        <v>576</v>
      </c>
      <c r="C44" s="287"/>
      <c r="D44" s="288"/>
      <c r="G44" s="287"/>
      <c r="H44" s="288"/>
      <c r="K44" s="287"/>
      <c r="L44" s="287"/>
      <c r="M44" s="288"/>
      <c r="N44" s="288"/>
      <c r="O44" s="291"/>
      <c r="P44" s="311"/>
      <c r="Q44" s="295"/>
      <c r="S44" s="294"/>
      <c r="T44" s="294"/>
      <c r="U44" s="294"/>
      <c r="V44" s="294"/>
      <c r="W44" s="294"/>
      <c r="X44" s="294"/>
      <c r="Y44" s="294"/>
      <c r="Z44" s="294"/>
      <c r="AA44" s="294"/>
      <c r="AB44" s="294"/>
      <c r="AC44" s="294"/>
      <c r="AD44" s="294"/>
      <c r="AE44" s="294"/>
      <c r="AF44" s="294"/>
      <c r="AG44" s="294"/>
      <c r="AH44" s="294"/>
      <c r="AI44" s="294"/>
      <c r="AJ44" s="294"/>
      <c r="AK44" s="294"/>
      <c r="AL44" s="294"/>
      <c r="AM44" s="294"/>
      <c r="AN44" s="295"/>
      <c r="AO44" s="295"/>
      <c r="AP44" s="295"/>
      <c r="AQ44" s="295"/>
      <c r="AR44" s="295"/>
      <c r="AS44" s="295"/>
      <c r="AT44" s="295"/>
      <c r="AU44" s="295"/>
      <c r="AV44" s="295"/>
      <c r="AW44" s="295"/>
      <c r="AX44" s="295"/>
      <c r="AY44" s="295"/>
      <c r="AZ44" s="295"/>
      <c r="BA44" s="295"/>
      <c r="BB44" s="295"/>
      <c r="BC44" s="295"/>
      <c r="BD44" s="295"/>
      <c r="BE44" s="295"/>
    </row>
    <row r="45" spans="2:57" s="30" customFormat="1" ht="15" x14ac:dyDescent="0.2">
      <c r="B45" s="52"/>
      <c r="Q45" s="129"/>
      <c r="R45" s="220"/>
      <c r="S45" s="104"/>
      <c r="T45" s="220"/>
      <c r="U45" s="220"/>
      <c r="V45" s="220"/>
      <c r="W45" s="220"/>
      <c r="X45" s="220"/>
      <c r="Y45" s="220"/>
      <c r="Z45" s="220"/>
      <c r="AA45" s="220"/>
      <c r="AB45" s="220"/>
      <c r="AC45" s="220"/>
      <c r="AD45" s="220"/>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row>
    <row r="46" spans="2:57" s="30" customFormat="1" ht="15" x14ac:dyDescent="0.2">
      <c r="B46" s="151" t="s">
        <v>354</v>
      </c>
      <c r="C46" s="52"/>
      <c r="D46" s="52"/>
      <c r="E46" s="52"/>
      <c r="F46" s="52"/>
      <c r="G46" s="52"/>
      <c r="H46" s="52"/>
      <c r="I46" s="52"/>
      <c r="K46" s="37" t="s">
        <v>297</v>
      </c>
      <c r="L46" s="37" t="s">
        <v>185</v>
      </c>
      <c r="M46" s="81"/>
      <c r="N46" s="81"/>
      <c r="O46" s="249" t="s">
        <v>584</v>
      </c>
      <c r="P46" s="37"/>
      <c r="Q46" s="34"/>
      <c r="R46" s="216" t="s">
        <v>318</v>
      </c>
      <c r="S46" s="35"/>
      <c r="T46" s="43" t="s">
        <v>246</v>
      </c>
      <c r="U46" s="43" t="s">
        <v>319</v>
      </c>
      <c r="V46" s="43" t="s">
        <v>320</v>
      </c>
      <c r="W46" s="43"/>
      <c r="X46" s="43"/>
      <c r="Y46" s="43"/>
      <c r="Z46" s="43"/>
      <c r="AA46" s="221"/>
      <c r="AB46" s="43"/>
      <c r="AC46" s="43"/>
      <c r="AD46" s="43"/>
      <c r="AE46" s="35"/>
      <c r="AF46" s="35"/>
      <c r="AG46" s="35"/>
      <c r="AH46" s="35"/>
      <c r="AI46" s="35"/>
      <c r="AJ46" s="35"/>
      <c r="AK46" s="35"/>
      <c r="AL46" s="35"/>
      <c r="AM46" s="35"/>
      <c r="AN46" s="36"/>
      <c r="AO46" s="36"/>
      <c r="AP46" s="36"/>
      <c r="AQ46" s="36"/>
      <c r="AR46" s="36"/>
      <c r="AS46" s="36"/>
      <c r="AT46" s="36"/>
      <c r="AU46" s="36"/>
      <c r="AV46" s="36"/>
      <c r="AW46" s="36"/>
      <c r="AX46" s="36"/>
      <c r="AY46" s="36"/>
      <c r="AZ46" s="36"/>
      <c r="BA46" s="36"/>
      <c r="BB46" s="36"/>
      <c r="BC46" s="36"/>
      <c r="BD46" s="36"/>
      <c r="BE46" s="36"/>
    </row>
    <row r="47" spans="2:57" s="30" customFormat="1" ht="15" x14ac:dyDescent="0.2">
      <c r="B47" s="52" t="s">
        <v>461</v>
      </c>
      <c r="C47" s="471" t="s">
        <v>196</v>
      </c>
      <c r="D47" s="472"/>
      <c r="E47" s="472"/>
      <c r="F47" s="472"/>
      <c r="G47" s="473"/>
      <c r="J47" s="32" t="s">
        <v>424</v>
      </c>
      <c r="K47" s="92">
        <f>IF(ISNUMBER(L47),L47,IF(C47=Kalusto!$C$33,Kalusto!$E$33*1/IF(C48=Pudotusvalikot!$V$4,Muut!$F$45*(Muut!$F$15+Muut!$F$18),IF(C48=Pudotusvalikot!$V$5,Muut!$F$46*(Muut!$F$16+Muut!$F$19),IF(C48=Pudotusvalikot!$V$6,Muut!$F$47*(Muut!$F$17+Muut!$F$20),(Muut!$F$11+Muut!$F$13)))),IF(C47=Pudotusvalikot!$D$67,"--",VLOOKUP(C47,Kalusto!$C$5:$E$42,3,FALSE)*VLOOKUP(C48,Muut!$D$40:$E$43,2,FALSE))))</f>
        <v>1.3157894736842105E-2</v>
      </c>
      <c r="L47" s="39"/>
      <c r="M47" s="40" t="s">
        <v>189</v>
      </c>
      <c r="N47" s="40"/>
      <c r="O47" s="250"/>
      <c r="P47" s="58"/>
      <c r="Q47" s="34"/>
      <c r="R47" s="213" t="str">
        <f>IF(ISNUMBER(K47*V47),K47*V47,"")</f>
        <v/>
      </c>
      <c r="S47" s="98" t="s">
        <v>160</v>
      </c>
      <c r="T47" s="213" t="str">
        <f>IF(ISNUMBER(C49),C49,"")</f>
        <v/>
      </c>
      <c r="U47" s="219" t="str">
        <f>IF(D49="h","",IF(ISNUMBER(C49),C49,""))</f>
        <v/>
      </c>
      <c r="V47" s="213" t="str">
        <f>IF(ISNUMBER(T47),IF(D49="h",C49,IF(ISNUMBER(T47*U47),IF(D49="m3/h",T47/U47,T47*U47),"")),"")</f>
        <v/>
      </c>
      <c r="W47" s="220"/>
      <c r="X47" s="216"/>
      <c r="Y47" s="43"/>
      <c r="Z47" s="43"/>
      <c r="AA47" s="43"/>
      <c r="AB47" s="43"/>
      <c r="AC47" s="43"/>
      <c r="AD47" s="43"/>
      <c r="AE47" s="35"/>
      <c r="AF47" s="35"/>
      <c r="AG47" s="35"/>
      <c r="AH47" s="35"/>
      <c r="AI47" s="35"/>
      <c r="AJ47" s="35"/>
      <c r="AK47" s="35"/>
      <c r="AL47" s="35"/>
      <c r="AM47" s="35"/>
      <c r="AN47" s="36"/>
      <c r="AO47" s="36"/>
      <c r="AP47" s="36"/>
      <c r="AQ47" s="36"/>
      <c r="AR47" s="36"/>
      <c r="AS47" s="36"/>
      <c r="AT47" s="36"/>
      <c r="AU47" s="36"/>
      <c r="AV47" s="36"/>
      <c r="AW47" s="36"/>
      <c r="AX47" s="36"/>
      <c r="AY47" s="36"/>
      <c r="AZ47" s="36"/>
      <c r="BA47" s="36"/>
      <c r="BB47" s="36"/>
      <c r="BC47" s="36"/>
      <c r="BD47" s="36"/>
      <c r="BE47" s="36"/>
    </row>
    <row r="48" spans="2:57" s="30" customFormat="1" ht="15" x14ac:dyDescent="0.2">
      <c r="B48" s="166" t="s">
        <v>460</v>
      </c>
      <c r="C48" s="156" t="s">
        <v>309</v>
      </c>
      <c r="D48" s="33"/>
      <c r="E48" s="33"/>
      <c r="F48" s="33"/>
      <c r="G48" s="33"/>
      <c r="J48" s="32"/>
      <c r="K48" s="32"/>
      <c r="L48" s="32"/>
      <c r="M48" s="40"/>
      <c r="N48" s="40"/>
      <c r="O48" s="259"/>
      <c r="P48" s="58"/>
      <c r="Q48" s="34"/>
      <c r="R48" s="216"/>
      <c r="S48" s="98"/>
      <c r="T48" s="216"/>
      <c r="U48" s="221"/>
      <c r="V48" s="216"/>
      <c r="W48" s="220"/>
      <c r="X48" s="216"/>
      <c r="Y48" s="43"/>
      <c r="Z48" s="43"/>
      <c r="AA48" s="43"/>
      <c r="AB48" s="43"/>
      <c r="AC48" s="43"/>
      <c r="AD48" s="43"/>
      <c r="AE48" s="35"/>
      <c r="AF48" s="35"/>
      <c r="AG48" s="35"/>
      <c r="AH48" s="35"/>
      <c r="AI48" s="35"/>
      <c r="AJ48" s="35"/>
      <c r="AK48" s="35"/>
      <c r="AL48" s="35"/>
      <c r="AM48" s="35"/>
      <c r="AN48" s="36"/>
      <c r="AO48" s="36"/>
      <c r="AP48" s="36"/>
      <c r="AQ48" s="36"/>
      <c r="AR48" s="36"/>
      <c r="AS48" s="36"/>
      <c r="AT48" s="36"/>
      <c r="AU48" s="36"/>
      <c r="AV48" s="36"/>
      <c r="AW48" s="36"/>
      <c r="AX48" s="36"/>
      <c r="AY48" s="36"/>
      <c r="AZ48" s="36"/>
      <c r="BA48" s="36"/>
      <c r="BB48" s="36"/>
      <c r="BC48" s="36"/>
      <c r="BD48" s="36"/>
      <c r="BE48" s="36"/>
    </row>
    <row r="49" spans="2:59" s="30" customFormat="1" ht="15" x14ac:dyDescent="0.2">
      <c r="B49" s="44" t="s">
        <v>357</v>
      </c>
      <c r="C49" s="155"/>
      <c r="D49" s="81" t="s">
        <v>51</v>
      </c>
      <c r="E49" s="33"/>
      <c r="F49" s="33"/>
      <c r="G49" s="33"/>
      <c r="J49" s="32"/>
      <c r="M49" s="81"/>
      <c r="N49" s="81"/>
      <c r="O49" s="96"/>
      <c r="P49" s="41"/>
      <c r="Q49" s="50"/>
      <c r="R49" s="234"/>
      <c r="S49" s="35"/>
      <c r="T49" s="43"/>
      <c r="U49" s="43"/>
      <c r="V49" s="43"/>
      <c r="W49" s="43"/>
      <c r="X49" s="43"/>
      <c r="Y49" s="43"/>
      <c r="Z49" s="43"/>
      <c r="AA49" s="43"/>
      <c r="AB49" s="43"/>
      <c r="AC49" s="43"/>
      <c r="AD49" s="43"/>
      <c r="AE49" s="35"/>
      <c r="AF49" s="35"/>
      <c r="AG49" s="35"/>
      <c r="AH49" s="35"/>
      <c r="AI49" s="35"/>
      <c r="AJ49" s="35"/>
      <c r="AK49" s="35"/>
      <c r="AL49" s="35"/>
      <c r="AM49" s="35"/>
      <c r="AN49" s="36"/>
      <c r="AO49" s="36"/>
      <c r="AP49" s="36"/>
      <c r="AQ49" s="36"/>
      <c r="AR49" s="36"/>
      <c r="AS49" s="36"/>
      <c r="AT49" s="36"/>
      <c r="AU49" s="36"/>
      <c r="AV49" s="36"/>
      <c r="AW49" s="36"/>
      <c r="AX49" s="36"/>
      <c r="AY49" s="36"/>
      <c r="AZ49" s="36"/>
      <c r="BA49" s="36"/>
      <c r="BB49" s="36"/>
      <c r="BC49" s="36"/>
      <c r="BD49" s="36"/>
      <c r="BE49" s="36"/>
    </row>
    <row r="50" spans="2:59" s="30" customFormat="1" ht="15" x14ac:dyDescent="0.2">
      <c r="B50" s="151" t="s">
        <v>355</v>
      </c>
      <c r="K50" s="37" t="s">
        <v>297</v>
      </c>
      <c r="L50" s="37" t="s">
        <v>185</v>
      </c>
      <c r="M50" s="81"/>
      <c r="N50" s="81"/>
      <c r="O50" s="96"/>
      <c r="Q50" s="129"/>
      <c r="R50" s="216" t="s">
        <v>318</v>
      </c>
      <c r="S50" s="104"/>
      <c r="T50" s="43" t="s">
        <v>246</v>
      </c>
      <c r="U50" s="43" t="s">
        <v>319</v>
      </c>
      <c r="V50" s="43" t="s">
        <v>320</v>
      </c>
      <c r="W50" s="43"/>
      <c r="X50" s="220"/>
      <c r="Y50" s="220"/>
      <c r="Z50" s="220"/>
      <c r="AA50" s="220"/>
      <c r="AB50" s="220"/>
      <c r="AC50" s="220"/>
      <c r="AD50" s="220"/>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row>
    <row r="51" spans="2:59" s="30" customFormat="1" ht="15.6" customHeight="1" x14ac:dyDescent="0.2">
      <c r="B51" s="52" t="s">
        <v>461</v>
      </c>
      <c r="C51" s="471" t="s">
        <v>300</v>
      </c>
      <c r="D51" s="472"/>
      <c r="E51" s="472"/>
      <c r="F51" s="472"/>
      <c r="G51" s="473"/>
      <c r="J51" s="32" t="s">
        <v>424</v>
      </c>
      <c r="K51" s="92" t="str">
        <f>IF(ISNUMBER(L51),L51,IF(C51=Kalusto!$C$33,Kalusto!$E$33*1/IF(C52=Pudotusvalikot!$V$4,Muut!$F$45*(Muut!$F$15+Muut!$F$18),IF(C52=Pudotusvalikot!$V$5,Muut!$F$46*(Muut!$F$16+Muut!$F$19),IF(C52=Pudotusvalikot!$V$6,Muut!$F$47*(Muut!$F$17+Muut!$F$20),(Muut!$F$11+Muut!$F$13)))),IF(C51=Pudotusvalikot!$D$67,"--",VLOOKUP(C51,Kalusto!$C$5:$E$42,3,FALSE)*VLOOKUP(C52,Muut!$D$40:$E$43,2,FALSE))))</f>
        <v>--</v>
      </c>
      <c r="L51" s="39"/>
      <c r="M51" s="40" t="s">
        <v>189</v>
      </c>
      <c r="N51" s="40"/>
      <c r="O51" s="259"/>
      <c r="P51" s="58"/>
      <c r="Q51" s="34"/>
      <c r="R51" s="213" t="str">
        <f>IF(ISNUMBER(K51*V51),K51*V51,"")</f>
        <v/>
      </c>
      <c r="S51" s="98" t="s">
        <v>160</v>
      </c>
      <c r="T51" s="213" t="str">
        <f>IF(ISNUMBER(C53),C53,"")</f>
        <v/>
      </c>
      <c r="U51" s="219" t="str">
        <f>IF(D53="h","",IF(ISNUMBER(C53),C53,""))</f>
        <v/>
      </c>
      <c r="V51" s="213" t="str">
        <f>IF(ISNUMBER(T51),IF(D53="h",C53,IF(ISNUMBER(T51*U51),IF(D53="m3/h",T51/U51,T51*U51),"")),"")</f>
        <v/>
      </c>
      <c r="W51" s="220"/>
      <c r="X51" s="216"/>
      <c r="Y51" s="43"/>
      <c r="Z51" s="43"/>
      <c r="AA51" s="43"/>
      <c r="AB51" s="43"/>
      <c r="AC51" s="43"/>
      <c r="AD51" s="43"/>
      <c r="AE51" s="35"/>
      <c r="AF51" s="35"/>
      <c r="AG51" s="35"/>
      <c r="AH51" s="35"/>
      <c r="AI51" s="35"/>
      <c r="AJ51" s="35"/>
      <c r="AK51" s="35"/>
      <c r="AL51" s="35"/>
      <c r="AM51" s="35"/>
      <c r="AN51" s="36"/>
      <c r="AO51" s="36"/>
      <c r="AP51" s="36"/>
      <c r="AQ51" s="36"/>
      <c r="AR51" s="36"/>
      <c r="AS51" s="36"/>
      <c r="AT51" s="36"/>
      <c r="AU51" s="36"/>
      <c r="AV51" s="36"/>
      <c r="AW51" s="36"/>
      <c r="AX51" s="36"/>
      <c r="AY51" s="36"/>
      <c r="AZ51" s="36"/>
      <c r="BA51" s="36"/>
      <c r="BB51" s="36"/>
      <c r="BC51" s="36"/>
      <c r="BD51" s="36"/>
      <c r="BE51" s="36"/>
    </row>
    <row r="52" spans="2:59" s="30" customFormat="1" ht="15.6" customHeight="1" x14ac:dyDescent="0.2">
      <c r="B52" s="166" t="s">
        <v>460</v>
      </c>
      <c r="C52" s="156" t="s">
        <v>309</v>
      </c>
      <c r="D52" s="33"/>
      <c r="E52" s="33"/>
      <c r="F52" s="33"/>
      <c r="G52" s="33"/>
      <c r="J52" s="32"/>
      <c r="K52" s="32"/>
      <c r="L52" s="32"/>
      <c r="M52" s="40"/>
      <c r="N52" s="40"/>
      <c r="O52" s="259"/>
      <c r="P52" s="58"/>
      <c r="Q52" s="34"/>
      <c r="R52" s="216"/>
      <c r="S52" s="98"/>
      <c r="T52" s="216"/>
      <c r="U52" s="221"/>
      <c r="V52" s="216"/>
      <c r="W52" s="220"/>
      <c r="X52" s="216"/>
      <c r="Y52" s="43"/>
      <c r="Z52" s="43"/>
      <c r="AA52" s="43"/>
      <c r="AB52" s="43"/>
      <c r="AC52" s="43"/>
      <c r="AD52" s="43"/>
      <c r="AE52" s="35"/>
      <c r="AF52" s="35"/>
      <c r="AG52" s="35"/>
      <c r="AH52" s="35"/>
      <c r="AI52" s="35"/>
      <c r="AJ52" s="35"/>
      <c r="AK52" s="35"/>
      <c r="AL52" s="35"/>
      <c r="AM52" s="35"/>
      <c r="AN52" s="36"/>
      <c r="AO52" s="36"/>
      <c r="AP52" s="36"/>
      <c r="AQ52" s="36"/>
      <c r="AR52" s="36"/>
      <c r="AS52" s="36"/>
      <c r="AT52" s="36"/>
      <c r="AU52" s="36"/>
      <c r="AV52" s="36"/>
      <c r="AW52" s="36"/>
      <c r="AX52" s="36"/>
      <c r="AY52" s="36"/>
      <c r="AZ52" s="36"/>
      <c r="BA52" s="36"/>
      <c r="BB52" s="36"/>
      <c r="BC52" s="36"/>
      <c r="BD52" s="36"/>
      <c r="BE52" s="36"/>
    </row>
    <row r="53" spans="2:59" s="30" customFormat="1" ht="15" x14ac:dyDescent="0.2">
      <c r="B53" s="44" t="s">
        <v>357</v>
      </c>
      <c r="C53" s="155"/>
      <c r="D53" s="81" t="s">
        <v>51</v>
      </c>
      <c r="E53" s="33"/>
      <c r="F53" s="33"/>
      <c r="G53" s="33"/>
      <c r="J53" s="32"/>
      <c r="K53" s="37"/>
      <c r="L53" s="37"/>
      <c r="M53" s="81"/>
      <c r="N53" s="81"/>
      <c r="O53" s="96"/>
      <c r="P53" s="41"/>
      <c r="Q53" s="50"/>
      <c r="R53" s="234"/>
      <c r="S53" s="35"/>
      <c r="T53" s="43"/>
      <c r="U53" s="43"/>
      <c r="V53" s="43"/>
      <c r="W53" s="43"/>
      <c r="X53" s="43"/>
      <c r="Y53" s="43"/>
      <c r="Z53" s="43"/>
      <c r="AA53" s="43"/>
      <c r="AB53" s="43"/>
      <c r="AC53" s="43"/>
      <c r="AD53" s="43"/>
      <c r="AE53" s="35"/>
      <c r="AF53" s="35"/>
      <c r="AG53" s="35"/>
      <c r="AH53" s="35"/>
      <c r="AI53" s="35"/>
      <c r="AJ53" s="35"/>
      <c r="AK53" s="35"/>
      <c r="AL53" s="35"/>
      <c r="AM53" s="35"/>
      <c r="AN53" s="36"/>
      <c r="AO53" s="36"/>
      <c r="AP53" s="36"/>
      <c r="AQ53" s="36"/>
      <c r="AR53" s="36"/>
      <c r="AS53" s="36"/>
      <c r="AT53" s="36"/>
      <c r="AU53" s="36"/>
      <c r="AV53" s="36"/>
      <c r="AW53" s="36"/>
      <c r="AX53" s="36"/>
      <c r="AY53" s="36"/>
      <c r="AZ53" s="36"/>
      <c r="BA53" s="36"/>
      <c r="BB53" s="36"/>
      <c r="BC53" s="36"/>
      <c r="BD53" s="36"/>
      <c r="BE53" s="36"/>
    </row>
    <row r="54" spans="2:59" s="30" customFormat="1" ht="15" x14ac:dyDescent="0.2">
      <c r="B54" s="151" t="s">
        <v>356</v>
      </c>
      <c r="K54" s="37" t="s">
        <v>297</v>
      </c>
      <c r="L54" s="37" t="s">
        <v>185</v>
      </c>
      <c r="M54" s="81"/>
      <c r="N54" s="81"/>
      <c r="O54" s="96"/>
      <c r="Q54" s="129"/>
      <c r="R54" s="216" t="s">
        <v>318</v>
      </c>
      <c r="S54" s="104"/>
      <c r="T54" s="43" t="s">
        <v>246</v>
      </c>
      <c r="U54" s="43" t="s">
        <v>319</v>
      </c>
      <c r="V54" s="43" t="s">
        <v>320</v>
      </c>
      <c r="W54" s="43"/>
      <c r="X54" s="220"/>
      <c r="Y54" s="220"/>
      <c r="Z54" s="220"/>
      <c r="AA54" s="220"/>
      <c r="AB54" s="220"/>
      <c r="AC54" s="220"/>
      <c r="AD54" s="220"/>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row>
    <row r="55" spans="2:59" s="30" customFormat="1" ht="15" x14ac:dyDescent="0.2">
      <c r="B55" s="52" t="s">
        <v>461</v>
      </c>
      <c r="C55" s="471" t="s">
        <v>300</v>
      </c>
      <c r="D55" s="472"/>
      <c r="E55" s="472"/>
      <c r="F55" s="472"/>
      <c r="G55" s="473"/>
      <c r="J55" s="32" t="s">
        <v>424</v>
      </c>
      <c r="K55" s="92" t="str">
        <f>IF(ISNUMBER(L55),L55,IF(C55=Kalusto!$C$33,Kalusto!$E$33*1/IF(C56=Pudotusvalikot!$V$4,Muut!$F$45*(Muut!$F$15+Muut!$F$18),IF(C56=Pudotusvalikot!$V$5,Muut!$F$46*(Muut!$F$16+Muut!$F$19),IF(C56=Pudotusvalikot!$V$6,Muut!$F$47*(Muut!$F$17+Muut!$F$20),(Muut!$F$11+Muut!$F$13)))),IF(C55=Pudotusvalikot!$D$67,"--",VLOOKUP(C55,Kalusto!$C$5:$E$42,3,FALSE)*VLOOKUP(C56,Muut!$D$40:$E$43,2,FALSE))))</f>
        <v>--</v>
      </c>
      <c r="L55" s="39"/>
      <c r="M55" s="40" t="s">
        <v>189</v>
      </c>
      <c r="N55" s="40"/>
      <c r="O55" s="259"/>
      <c r="P55" s="58"/>
      <c r="Q55" s="34"/>
      <c r="R55" s="213" t="str">
        <f>IF(ISNUMBER(K55*V55),K55*V55,"")</f>
        <v/>
      </c>
      <c r="S55" s="98" t="s">
        <v>160</v>
      </c>
      <c r="T55" s="213" t="str">
        <f>IF(ISNUMBER(C57),C57,"")</f>
        <v/>
      </c>
      <c r="U55" s="219" t="str">
        <f>IF(D57="h","",IF(ISNUMBER(C57),C57,""))</f>
        <v/>
      </c>
      <c r="V55" s="213" t="str">
        <f>IF(ISNUMBER(T55),IF(D57="h",C57,IF(ISNUMBER(T55*U55),IF(D57="m3/h",T55/U55,T55*U55),"")),"")</f>
        <v/>
      </c>
      <c r="W55" s="220"/>
      <c r="X55" s="216"/>
      <c r="Y55" s="43"/>
      <c r="Z55" s="43"/>
      <c r="AA55" s="43"/>
      <c r="AB55" s="43"/>
      <c r="AC55" s="43"/>
      <c r="AD55" s="43"/>
      <c r="AE55" s="35"/>
      <c r="AF55" s="35"/>
      <c r="AG55" s="35"/>
      <c r="AH55" s="35"/>
      <c r="AI55" s="35"/>
      <c r="AJ55" s="35"/>
      <c r="AK55" s="35"/>
      <c r="AL55" s="35"/>
      <c r="AM55" s="35"/>
      <c r="AN55" s="36"/>
      <c r="AO55" s="36"/>
      <c r="AP55" s="36"/>
      <c r="AQ55" s="36"/>
      <c r="AR55" s="36"/>
      <c r="AS55" s="36"/>
      <c r="AT55" s="36"/>
      <c r="AU55" s="36"/>
      <c r="AV55" s="36"/>
      <c r="AW55" s="36"/>
      <c r="AX55" s="36"/>
      <c r="AY55" s="36"/>
      <c r="AZ55" s="36"/>
      <c r="BA55" s="36"/>
      <c r="BB55" s="36"/>
      <c r="BC55" s="36"/>
      <c r="BD55" s="36"/>
      <c r="BE55" s="36"/>
    </row>
    <row r="56" spans="2:59" s="30" customFormat="1" ht="15" x14ac:dyDescent="0.2">
      <c r="B56" s="166" t="s">
        <v>460</v>
      </c>
      <c r="C56" s="156" t="s">
        <v>309</v>
      </c>
      <c r="D56" s="33"/>
      <c r="E56" s="33"/>
      <c r="F56" s="33"/>
      <c r="G56" s="33"/>
      <c r="J56" s="32"/>
      <c r="K56" s="32"/>
      <c r="L56" s="32"/>
      <c r="M56" s="40"/>
      <c r="N56" s="40"/>
      <c r="O56" s="259"/>
      <c r="P56" s="58"/>
      <c r="Q56" s="34"/>
      <c r="R56" s="216"/>
      <c r="S56" s="98"/>
      <c r="T56" s="216"/>
      <c r="U56" s="221"/>
      <c r="V56" s="216"/>
      <c r="W56" s="220"/>
      <c r="X56" s="216"/>
      <c r="Y56" s="43"/>
      <c r="Z56" s="43"/>
      <c r="AA56" s="43"/>
      <c r="AB56" s="43"/>
      <c r="AC56" s="43"/>
      <c r="AD56" s="43"/>
      <c r="AE56" s="35"/>
      <c r="AF56" s="35"/>
      <c r="AG56" s="35"/>
      <c r="AH56" s="35"/>
      <c r="AI56" s="35"/>
      <c r="AJ56" s="35"/>
      <c r="AK56" s="35"/>
      <c r="AL56" s="35"/>
      <c r="AM56" s="35"/>
      <c r="AN56" s="36"/>
      <c r="AO56" s="36"/>
      <c r="AP56" s="36"/>
      <c r="AQ56" s="36"/>
      <c r="AR56" s="36"/>
      <c r="AS56" s="36"/>
      <c r="AT56" s="36"/>
      <c r="AU56" s="36"/>
      <c r="AV56" s="36"/>
      <c r="AW56" s="36"/>
      <c r="AX56" s="36"/>
      <c r="AY56" s="36"/>
      <c r="AZ56" s="36"/>
      <c r="BA56" s="36"/>
      <c r="BB56" s="36"/>
      <c r="BC56" s="36"/>
      <c r="BD56" s="36"/>
      <c r="BE56" s="36"/>
    </row>
    <row r="57" spans="2:59" s="30" customFormat="1" ht="15" x14ac:dyDescent="0.2">
      <c r="B57" s="44" t="s">
        <v>357</v>
      </c>
      <c r="C57" s="155"/>
      <c r="D57" s="81" t="s">
        <v>51</v>
      </c>
      <c r="E57" s="33"/>
      <c r="F57" s="33"/>
      <c r="G57" s="33"/>
      <c r="H57" s="81"/>
      <c r="J57" s="32"/>
      <c r="K57" s="33"/>
      <c r="L57" s="33"/>
      <c r="M57" s="81"/>
      <c r="N57" s="81"/>
      <c r="O57" s="96"/>
      <c r="P57" s="41"/>
      <c r="Q57" s="50"/>
      <c r="R57" s="234"/>
      <c r="S57" s="35"/>
      <c r="T57" s="43"/>
      <c r="U57" s="43"/>
      <c r="V57" s="43"/>
      <c r="W57" s="43"/>
      <c r="X57" s="43"/>
      <c r="Y57" s="43"/>
      <c r="Z57" s="43"/>
      <c r="AA57" s="43"/>
      <c r="AB57" s="43"/>
      <c r="AC57" s="43"/>
      <c r="AD57" s="43"/>
      <c r="AE57" s="35"/>
      <c r="AF57" s="35"/>
      <c r="AG57" s="35"/>
      <c r="AH57" s="35"/>
      <c r="AI57" s="35"/>
      <c r="AJ57" s="35"/>
      <c r="AK57" s="35"/>
      <c r="AL57" s="35"/>
      <c r="AM57" s="35"/>
      <c r="AN57" s="36"/>
      <c r="AO57" s="36"/>
      <c r="AP57" s="36"/>
      <c r="AQ57" s="36"/>
      <c r="AR57" s="36"/>
      <c r="AS57" s="36"/>
      <c r="AT57" s="36"/>
      <c r="AU57" s="36"/>
      <c r="AV57" s="36"/>
      <c r="AW57" s="36"/>
      <c r="AX57" s="36"/>
      <c r="AY57" s="36"/>
      <c r="AZ57" s="36"/>
      <c r="BA57" s="36"/>
      <c r="BB57" s="36"/>
      <c r="BC57" s="36"/>
      <c r="BD57" s="36"/>
      <c r="BE57" s="36"/>
    </row>
    <row r="58" spans="2:59" s="30" customFormat="1" ht="15" x14ac:dyDescent="0.2">
      <c r="C58" s="78"/>
      <c r="D58" s="81"/>
      <c r="G58" s="33"/>
      <c r="H58" s="81"/>
      <c r="J58" s="32"/>
      <c r="K58" s="33"/>
      <c r="L58" s="33"/>
      <c r="M58" s="81"/>
      <c r="N58" s="81"/>
      <c r="O58" s="81"/>
      <c r="Q58" s="34"/>
      <c r="R58" s="234"/>
      <c r="S58" s="35"/>
      <c r="T58" s="43"/>
      <c r="U58" s="43"/>
      <c r="V58" s="43"/>
      <c r="W58" s="43"/>
      <c r="X58" s="43"/>
      <c r="Y58" s="43"/>
      <c r="Z58" s="43"/>
      <c r="AA58" s="43"/>
      <c r="AB58" s="43"/>
      <c r="AC58" s="43"/>
      <c r="AD58" s="43"/>
      <c r="AE58" s="35"/>
      <c r="AF58" s="35"/>
      <c r="AG58" s="35"/>
      <c r="AH58" s="35"/>
      <c r="AI58" s="35"/>
      <c r="AJ58" s="35"/>
      <c r="AK58" s="35"/>
      <c r="AL58" s="35"/>
      <c r="AM58" s="35"/>
      <c r="AN58" s="36"/>
      <c r="AO58" s="36"/>
      <c r="AP58" s="36"/>
      <c r="AQ58" s="36"/>
      <c r="AR58" s="36"/>
      <c r="AS58" s="36"/>
      <c r="AT58" s="36"/>
      <c r="AU58" s="36"/>
      <c r="AV58" s="36"/>
      <c r="AW58" s="36"/>
      <c r="AX58" s="36"/>
      <c r="AY58" s="36"/>
      <c r="AZ58" s="36"/>
      <c r="BA58" s="36"/>
      <c r="BB58" s="36"/>
      <c r="BC58" s="36"/>
      <c r="BD58" s="36"/>
      <c r="BE58" s="36"/>
    </row>
    <row r="59" spans="2:59" s="289" customFormat="1" ht="18" x14ac:dyDescent="0.2">
      <c r="B59" s="286" t="s">
        <v>539</v>
      </c>
      <c r="C59" s="287"/>
      <c r="D59" s="288"/>
      <c r="G59" s="287"/>
      <c r="H59" s="288"/>
      <c r="K59" s="287"/>
      <c r="L59" s="287"/>
      <c r="M59" s="288"/>
      <c r="N59" s="288"/>
      <c r="O59" s="291"/>
      <c r="P59" s="311"/>
      <c r="Q59" s="295"/>
      <c r="S59" s="294"/>
      <c r="T59" s="294"/>
      <c r="U59" s="294"/>
      <c r="V59" s="294"/>
      <c r="W59" s="294"/>
      <c r="X59" s="294"/>
      <c r="Y59" s="294"/>
      <c r="Z59" s="294"/>
      <c r="AA59" s="294"/>
      <c r="AB59" s="294"/>
      <c r="AC59" s="294"/>
      <c r="AD59" s="294"/>
      <c r="AE59" s="294"/>
      <c r="AF59" s="294"/>
      <c r="AG59" s="294"/>
      <c r="AH59" s="294"/>
      <c r="AI59" s="294"/>
      <c r="AJ59" s="294"/>
      <c r="AK59" s="294"/>
      <c r="AL59" s="294"/>
      <c r="AM59" s="294"/>
      <c r="AN59" s="295"/>
      <c r="AO59" s="295"/>
      <c r="AP59" s="295"/>
      <c r="AQ59" s="295"/>
      <c r="AR59" s="295"/>
      <c r="AS59" s="295"/>
      <c r="AT59" s="295"/>
      <c r="AU59" s="295"/>
      <c r="AV59" s="295"/>
      <c r="AW59" s="295"/>
      <c r="AX59" s="295"/>
      <c r="AY59" s="295"/>
      <c r="AZ59" s="295"/>
      <c r="BA59" s="295"/>
      <c r="BB59" s="295"/>
      <c r="BC59" s="295"/>
      <c r="BD59" s="295"/>
      <c r="BE59" s="295"/>
    </row>
    <row r="60" spans="2:59" s="30" customFormat="1" ht="15" x14ac:dyDescent="0.2">
      <c r="B60" s="30" t="s">
        <v>736</v>
      </c>
      <c r="C60" s="33"/>
      <c r="D60" s="81"/>
      <c r="E60" s="33"/>
      <c r="F60" s="33"/>
      <c r="G60" s="37"/>
      <c r="H60" s="81"/>
      <c r="J60" s="32"/>
      <c r="K60" s="37"/>
      <c r="L60" s="37"/>
      <c r="M60" s="83"/>
      <c r="N60" s="83"/>
      <c r="O60" s="249"/>
      <c r="P60" s="37"/>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4"/>
      <c r="AQ60" s="54"/>
      <c r="AR60" s="54"/>
      <c r="AS60" s="54"/>
      <c r="AT60" s="54"/>
      <c r="AU60" s="54"/>
      <c r="AV60" s="54"/>
      <c r="AW60" s="54"/>
      <c r="AX60" s="54"/>
      <c r="AY60" s="54"/>
      <c r="AZ60" s="54"/>
      <c r="BA60" s="54"/>
      <c r="BB60" s="54"/>
      <c r="BC60" s="54"/>
      <c r="BD60" s="54"/>
      <c r="BE60" s="54"/>
      <c r="BF60" s="54"/>
      <c r="BG60" s="54"/>
    </row>
    <row r="61" spans="2:59" s="30" customFormat="1" ht="15.75" x14ac:dyDescent="0.2">
      <c r="B61" s="8"/>
      <c r="C61" s="33"/>
      <c r="D61" s="81"/>
      <c r="E61" s="33"/>
      <c r="F61" s="33"/>
      <c r="G61" s="37"/>
      <c r="H61" s="81"/>
      <c r="J61" s="32"/>
      <c r="K61" s="37"/>
      <c r="L61" s="37"/>
      <c r="M61" s="83"/>
      <c r="N61" s="83"/>
      <c r="O61" s="83"/>
      <c r="P61" s="37"/>
      <c r="Q61" s="34"/>
      <c r="R61" s="102"/>
      <c r="S61" s="35"/>
      <c r="T61" s="43"/>
      <c r="U61" s="43"/>
      <c r="V61" s="43"/>
      <c r="W61" s="43"/>
      <c r="X61" s="43"/>
      <c r="Y61" s="43"/>
      <c r="Z61" s="43"/>
      <c r="AA61" s="43"/>
      <c r="AB61" s="43"/>
      <c r="AC61" s="43"/>
      <c r="AD61" s="43"/>
      <c r="AE61" s="43"/>
      <c r="AF61" s="43"/>
      <c r="AG61" s="43"/>
      <c r="AH61" s="43"/>
      <c r="AI61" s="35"/>
      <c r="AJ61" s="35"/>
      <c r="AK61" s="35"/>
      <c r="AL61" s="35"/>
      <c r="AM61" s="35"/>
      <c r="AN61" s="36"/>
      <c r="AO61" s="36"/>
      <c r="AP61" s="36"/>
      <c r="AQ61" s="36"/>
      <c r="AR61" s="36"/>
      <c r="AS61" s="36"/>
      <c r="AT61" s="36"/>
      <c r="AU61" s="36"/>
      <c r="AV61" s="36"/>
      <c r="AW61" s="36"/>
      <c r="AX61" s="36"/>
      <c r="AY61" s="36"/>
      <c r="AZ61" s="36"/>
      <c r="BA61" s="36"/>
      <c r="BB61" s="36"/>
      <c r="BC61" s="36"/>
      <c r="BD61" s="36"/>
      <c r="BE61" s="36"/>
    </row>
    <row r="62" spans="2:59" s="30" customFormat="1" ht="15" x14ac:dyDescent="0.2">
      <c r="B62" s="151" t="s">
        <v>411</v>
      </c>
      <c r="C62" s="33" t="s">
        <v>50</v>
      </c>
      <c r="D62" s="81"/>
      <c r="E62" s="33"/>
      <c r="F62" s="33"/>
      <c r="G62" s="37" t="s">
        <v>183</v>
      </c>
      <c r="H62" s="81"/>
      <c r="J62" s="32"/>
      <c r="K62" s="37" t="s">
        <v>297</v>
      </c>
      <c r="L62" s="37" t="s">
        <v>185</v>
      </c>
      <c r="M62" s="83"/>
      <c r="N62" s="83"/>
      <c r="O62" s="249" t="s">
        <v>584</v>
      </c>
      <c r="P62" s="37"/>
      <c r="Q62" s="34"/>
      <c r="R62" s="216" t="s">
        <v>318</v>
      </c>
      <c r="S62" s="35"/>
      <c r="T62" s="43" t="s">
        <v>400</v>
      </c>
      <c r="U62" s="43" t="s">
        <v>399</v>
      </c>
      <c r="V62" s="43" t="s">
        <v>397</v>
      </c>
      <c r="W62" s="43" t="s">
        <v>398</v>
      </c>
      <c r="X62" s="43" t="s">
        <v>401</v>
      </c>
      <c r="Y62" s="43" t="s">
        <v>403</v>
      </c>
      <c r="Z62" s="43" t="s">
        <v>402</v>
      </c>
      <c r="AA62" s="43" t="s">
        <v>186</v>
      </c>
      <c r="AB62" s="43" t="s">
        <v>345</v>
      </c>
      <c r="AC62" s="43" t="s">
        <v>404</v>
      </c>
      <c r="AD62" s="43" t="s">
        <v>346</v>
      </c>
      <c r="AE62" s="43" t="s">
        <v>405</v>
      </c>
      <c r="AF62" s="43" t="s">
        <v>406</v>
      </c>
      <c r="AG62" s="43" t="s">
        <v>578</v>
      </c>
      <c r="AH62" s="35" t="s">
        <v>190</v>
      </c>
      <c r="AI62" s="35" t="s">
        <v>249</v>
      </c>
      <c r="AJ62" s="35" t="s">
        <v>191</v>
      </c>
      <c r="AK62" s="104"/>
      <c r="AL62" s="35"/>
      <c r="AM62" s="35"/>
      <c r="AN62" s="36"/>
      <c r="AO62" s="36"/>
      <c r="AP62" s="36"/>
      <c r="AQ62" s="36"/>
      <c r="AR62" s="36"/>
      <c r="AS62" s="36"/>
      <c r="AT62" s="36"/>
      <c r="AU62" s="36"/>
      <c r="AV62" s="36"/>
      <c r="AW62" s="36"/>
      <c r="AX62" s="36"/>
      <c r="AY62" s="36"/>
      <c r="AZ62" s="36"/>
      <c r="BA62" s="36"/>
      <c r="BB62" s="36"/>
      <c r="BC62" s="36"/>
      <c r="BD62" s="36"/>
      <c r="BE62" s="36"/>
    </row>
    <row r="63" spans="2:59" s="30" customFormat="1" ht="30" x14ac:dyDescent="0.2">
      <c r="B63" s="166" t="s">
        <v>464</v>
      </c>
      <c r="C63" s="152"/>
      <c r="D63" s="86" t="s">
        <v>163</v>
      </c>
      <c r="E63" s="172"/>
      <c r="F63" s="33"/>
      <c r="G63" s="157"/>
      <c r="H63" s="81" t="str">
        <f>IF(D63="t","t/t","t/m3")</f>
        <v>t/m3</v>
      </c>
      <c r="I63" s="166"/>
      <c r="J63" s="169" t="s">
        <v>395</v>
      </c>
      <c r="K63" s="92" t="str">
        <f>IFERROR(IF(ISNUMBER(L63),L63,(VLOOKUP(C64,Kalusto!$C$45:$G$84,5,FALSE)*VLOOKUP(C65,Muut!$D$40:$E$43,2,FALSE))),"--")</f>
        <v>--</v>
      </c>
      <c r="L63" s="39"/>
      <c r="M63" s="40" t="s">
        <v>184</v>
      </c>
      <c r="N63" s="40"/>
      <c r="O63" s="250"/>
      <c r="Q63" s="45"/>
      <c r="R63" s="213" t="str">
        <f>IF(AND(NOT(ISNUMBER(AB63)),NOT(ISNUMBER(AG63))),"",IF(ISNUMBER(AB63),AB63,0)+IF(ISNUMBER(AG63),AG63,0))</f>
        <v/>
      </c>
      <c r="S63" s="98" t="s">
        <v>160</v>
      </c>
      <c r="T63" s="211" t="str">
        <f>IFERROR(IF(ISNUMBER(L63),"Kohdetieto",VLOOKUP(C64,Kalusto!$C$45:$L$84,7,FALSE)),"--")</f>
        <v>--</v>
      </c>
      <c r="U63" s="211" t="str">
        <f>IFERROR(IF(ISNUMBER(L63),"Kohdetieto",VLOOKUP(C64,Kalusto!$C$45:$L$84,8,FALSE)),"--")</f>
        <v>--</v>
      </c>
      <c r="V63" s="212" t="str">
        <f>IFERROR(IF(ISNUMBER(L63),"Kohdetieto",VLOOKUP(C64,Kalusto!$C$45:$L$84,9,FALSE)),"--")</f>
        <v>--</v>
      </c>
      <c r="W63" s="212" t="str">
        <f>IFERROR(IF(ISNUMBER(L63),"Kohdetieto",VLOOKUP(C64,Kalusto!$C$45:$L$84,10,FALSE)),"--")</f>
        <v>--</v>
      </c>
      <c r="X63" s="213" t="str">
        <f>IF(ISBLANK(C63),"",IF(D63="t",C63,C63*G63))</f>
        <v/>
      </c>
      <c r="Y63" s="211" t="str">
        <f>IF(ISNUMBER(C66),C66,"")</f>
        <v/>
      </c>
      <c r="Z63" s="213" t="str">
        <f>IF(ISNUMBER(X63/(U63*V63)*Y63),X63/(U63*V63)*Y63,"")</f>
        <v/>
      </c>
      <c r="AA63" s="214" t="str">
        <f>IF(ISNUMBER(L63),L63,K63)</f>
        <v>--</v>
      </c>
      <c r="AB63" s="213" t="str">
        <f>IF(ISNUMBER(Y63*X63*K63),Y63*X63*K63,"")</f>
        <v/>
      </c>
      <c r="AC63" s="213" t="str">
        <f>IF(C88="Kyllä",Y63,"")</f>
        <v/>
      </c>
      <c r="AD63" s="213" t="str">
        <f>IF(C88="Kyllä",IF(ISNUMBER(X63/(U63*V63)),X63/(U63*V63),""),"")</f>
        <v/>
      </c>
      <c r="AE63" s="48" t="str">
        <f>IF(ISNUMBER(AD63*AC63),AD63*AC63,"")</f>
        <v/>
      </c>
      <c r="AF63" s="49" t="str">
        <f>IF(ISNUMBER(L64),L64,K64)</f>
        <v>--</v>
      </c>
      <c r="AG63" s="48" t="str">
        <f>IF(ISNUMBER(AC63*AD63*K64),AC63*AD63*K64,"")</f>
        <v/>
      </c>
      <c r="AH63" s="46">
        <f>IF(T63="Jakelukuorma-auto",0,IF(T63="Maansiirtoauto",4,IF(T63="Puoliperävaunu",6,8)))</f>
        <v>8</v>
      </c>
      <c r="AI63" s="46">
        <f>IF(AND(T63="Jakelukuorma-auto",U63=6),0,IF(AND(T63="Jakelukuorma-auto",U63=15),2,0))</f>
        <v>0</v>
      </c>
      <c r="AJ63" s="46">
        <f>IF(W63="maantieajo",0,1)</f>
        <v>1</v>
      </c>
      <c r="AK63" s="104"/>
      <c r="AL63" s="35"/>
      <c r="AM63" s="35"/>
      <c r="AN63" s="36"/>
      <c r="AO63" s="36"/>
      <c r="AP63" s="36"/>
      <c r="AQ63" s="36"/>
      <c r="AR63" s="36"/>
      <c r="AS63" s="36"/>
      <c r="AT63" s="36"/>
      <c r="AU63" s="36"/>
      <c r="AV63" s="36"/>
      <c r="AW63" s="36"/>
      <c r="AX63" s="36"/>
      <c r="AY63" s="36"/>
      <c r="AZ63" s="36"/>
      <c r="BA63" s="36"/>
      <c r="BB63" s="36"/>
      <c r="BC63" s="36"/>
      <c r="BD63" s="36"/>
      <c r="BE63" s="36"/>
    </row>
    <row r="64" spans="2:59" s="30" customFormat="1" ht="45" x14ac:dyDescent="0.2">
      <c r="B64" s="166" t="s">
        <v>463</v>
      </c>
      <c r="C64" s="471" t="s">
        <v>298</v>
      </c>
      <c r="D64" s="472"/>
      <c r="E64" s="472"/>
      <c r="F64" s="472"/>
      <c r="G64" s="473"/>
      <c r="H64" s="52"/>
      <c r="J64" s="32" t="s">
        <v>396</v>
      </c>
      <c r="K64" s="92" t="str">
        <f>IFERROR(IF(ISNUMBER(L64),L64,IF($C$88="Ei","",(VLOOKUP(C64,Kalusto!$C$45:$V$84,19,FALSE)*(VLOOKUP(C65,Muut!$D$40:$E$43,2,FALSE))))),"--")</f>
        <v>--</v>
      </c>
      <c r="L64" s="39"/>
      <c r="M64" s="40" t="s">
        <v>188</v>
      </c>
      <c r="N64" s="40"/>
      <c r="O64" s="259"/>
      <c r="P64" s="33"/>
      <c r="Q64" s="50"/>
      <c r="R64" s="43"/>
      <c r="S64" s="35"/>
      <c r="T64" s="43"/>
      <c r="U64" s="43"/>
      <c r="V64" s="43"/>
      <c r="W64" s="43"/>
      <c r="X64" s="43"/>
      <c r="Y64" s="43"/>
      <c r="Z64" s="43"/>
      <c r="AA64" s="43"/>
      <c r="AB64" s="43"/>
      <c r="AC64" s="43"/>
      <c r="AD64" s="43"/>
      <c r="AE64" s="35"/>
      <c r="AF64" s="35"/>
      <c r="AG64" s="35"/>
      <c r="AH64" s="35"/>
      <c r="AI64" s="35"/>
      <c r="AJ64" s="35"/>
      <c r="AK64" s="104"/>
      <c r="AL64" s="35"/>
      <c r="AM64" s="35"/>
      <c r="AN64" s="36"/>
      <c r="AO64" s="36"/>
      <c r="AP64" s="36"/>
      <c r="AQ64" s="36"/>
      <c r="AR64" s="36"/>
      <c r="AS64" s="36"/>
      <c r="AT64" s="36"/>
      <c r="AU64" s="36"/>
      <c r="AV64" s="36"/>
      <c r="AW64" s="36"/>
      <c r="AX64" s="36"/>
      <c r="AY64" s="36"/>
      <c r="AZ64" s="36"/>
      <c r="BA64" s="36"/>
      <c r="BB64" s="36"/>
      <c r="BC64" s="36"/>
      <c r="BD64" s="36"/>
      <c r="BE64" s="36"/>
    </row>
    <row r="65" spans="2:57" s="30" customFormat="1" ht="15" x14ac:dyDescent="0.2">
      <c r="B65" s="182" t="s">
        <v>457</v>
      </c>
      <c r="C65" s="156" t="s">
        <v>309</v>
      </c>
      <c r="D65" s="33"/>
      <c r="E65" s="33"/>
      <c r="F65" s="33"/>
      <c r="G65" s="33"/>
      <c r="H65" s="57"/>
      <c r="J65" s="169"/>
      <c r="K65" s="169"/>
      <c r="L65" s="169"/>
      <c r="M65" s="40"/>
      <c r="N65" s="40"/>
      <c r="O65" s="259"/>
      <c r="Q65" s="45"/>
      <c r="R65" s="226"/>
      <c r="S65" s="98"/>
      <c r="T65" s="43"/>
      <c r="U65" s="43"/>
      <c r="V65" s="215"/>
      <c r="W65" s="215"/>
      <c r="X65" s="216"/>
      <c r="Y65" s="43"/>
      <c r="Z65" s="216"/>
      <c r="AA65" s="217"/>
      <c r="AB65" s="216"/>
      <c r="AC65" s="216"/>
      <c r="AD65" s="216"/>
      <c r="AE65" s="59"/>
      <c r="AF65" s="178"/>
      <c r="AG65" s="59"/>
      <c r="AH65" s="35"/>
      <c r="AI65" s="35"/>
      <c r="AJ65" s="35"/>
      <c r="AK65" s="104"/>
      <c r="AL65" s="35"/>
      <c r="AM65" s="35"/>
      <c r="AN65" s="36"/>
      <c r="AO65" s="36"/>
      <c r="AP65" s="36"/>
      <c r="AQ65" s="36"/>
      <c r="AR65" s="36"/>
      <c r="AS65" s="36"/>
      <c r="AT65" s="36"/>
      <c r="AU65" s="36"/>
      <c r="AV65" s="36"/>
      <c r="AW65" s="36"/>
      <c r="AX65" s="36"/>
      <c r="AY65" s="36"/>
      <c r="AZ65" s="36"/>
      <c r="BA65" s="36"/>
      <c r="BB65" s="36"/>
      <c r="BC65" s="36"/>
      <c r="BD65" s="36"/>
      <c r="BE65" s="36"/>
    </row>
    <row r="66" spans="2:57" s="30" customFormat="1" ht="15" x14ac:dyDescent="0.2">
      <c r="B66" s="44" t="s">
        <v>465</v>
      </c>
      <c r="C66" s="152"/>
      <c r="D66" s="81" t="s">
        <v>5</v>
      </c>
      <c r="G66" s="33"/>
      <c r="H66" s="52"/>
      <c r="J66" s="51"/>
      <c r="K66" s="33"/>
      <c r="L66" s="33"/>
      <c r="M66" s="81"/>
      <c r="N66" s="81"/>
      <c r="O66" s="96"/>
      <c r="P66" s="51"/>
      <c r="Q66" s="50"/>
      <c r="R66" s="43"/>
      <c r="S66" s="35"/>
      <c r="T66" s="43"/>
      <c r="U66" s="43"/>
      <c r="V66" s="43"/>
      <c r="W66" s="43"/>
      <c r="X66" s="43"/>
      <c r="Y66" s="43"/>
      <c r="Z66" s="43"/>
      <c r="AA66" s="43"/>
      <c r="AB66" s="43"/>
      <c r="AC66" s="43"/>
      <c r="AD66" s="43"/>
      <c r="AE66" s="35"/>
      <c r="AF66" s="35"/>
      <c r="AG66" s="35"/>
      <c r="AH66" s="35"/>
      <c r="AI66" s="35"/>
      <c r="AJ66" s="35"/>
      <c r="AK66" s="104"/>
      <c r="AL66" s="35"/>
      <c r="AM66" s="35"/>
      <c r="AN66" s="36"/>
      <c r="AO66" s="36"/>
      <c r="AP66" s="36"/>
      <c r="AQ66" s="36"/>
      <c r="AR66" s="36"/>
      <c r="AS66" s="36"/>
      <c r="AT66" s="36"/>
      <c r="AU66" s="36"/>
      <c r="AV66" s="36"/>
      <c r="AW66" s="36"/>
      <c r="AX66" s="36"/>
      <c r="AY66" s="36"/>
      <c r="AZ66" s="36"/>
      <c r="BA66" s="36"/>
      <c r="BB66" s="36"/>
      <c r="BC66" s="36"/>
      <c r="BD66" s="36"/>
      <c r="BE66" s="36"/>
    </row>
    <row r="67" spans="2:57" s="30" customFormat="1" ht="15" x14ac:dyDescent="0.2">
      <c r="B67" s="151" t="s">
        <v>412</v>
      </c>
      <c r="C67" s="33"/>
      <c r="D67" s="81"/>
      <c r="G67" s="33"/>
      <c r="H67" s="81"/>
      <c r="J67" s="32"/>
      <c r="K67" s="37" t="s">
        <v>297</v>
      </c>
      <c r="L67" s="37" t="s">
        <v>185</v>
      </c>
      <c r="M67" s="81"/>
      <c r="N67" s="81"/>
      <c r="O67" s="96"/>
      <c r="P67" s="33"/>
      <c r="Q67" s="34"/>
      <c r="R67" s="216" t="s">
        <v>318</v>
      </c>
      <c r="S67" s="35"/>
      <c r="T67" s="43" t="s">
        <v>400</v>
      </c>
      <c r="U67" s="43" t="s">
        <v>399</v>
      </c>
      <c r="V67" s="43" t="s">
        <v>397</v>
      </c>
      <c r="W67" s="43" t="s">
        <v>398</v>
      </c>
      <c r="X67" s="43" t="s">
        <v>401</v>
      </c>
      <c r="Y67" s="43" t="s">
        <v>403</v>
      </c>
      <c r="Z67" s="43" t="s">
        <v>402</v>
      </c>
      <c r="AA67" s="43" t="s">
        <v>186</v>
      </c>
      <c r="AB67" s="43" t="s">
        <v>345</v>
      </c>
      <c r="AC67" s="43" t="s">
        <v>404</v>
      </c>
      <c r="AD67" s="43" t="s">
        <v>346</v>
      </c>
      <c r="AE67" s="43" t="s">
        <v>405</v>
      </c>
      <c r="AF67" s="43" t="s">
        <v>406</v>
      </c>
      <c r="AG67" s="43" t="s">
        <v>578</v>
      </c>
      <c r="AH67" s="35" t="s">
        <v>190</v>
      </c>
      <c r="AI67" s="35" t="s">
        <v>249</v>
      </c>
      <c r="AJ67" s="35" t="s">
        <v>191</v>
      </c>
      <c r="AK67" s="104"/>
      <c r="AL67" s="35"/>
      <c r="AM67" s="35"/>
      <c r="AN67" s="36"/>
      <c r="AO67" s="36"/>
      <c r="AP67" s="36"/>
      <c r="AQ67" s="36"/>
      <c r="AR67" s="36"/>
      <c r="AS67" s="36"/>
      <c r="AT67" s="36"/>
      <c r="AU67" s="36"/>
      <c r="AV67" s="36"/>
      <c r="AW67" s="36"/>
      <c r="AX67" s="36"/>
      <c r="AY67" s="36"/>
      <c r="AZ67" s="36"/>
      <c r="BA67" s="36"/>
      <c r="BB67" s="36"/>
      <c r="BC67" s="36"/>
      <c r="BD67" s="36"/>
      <c r="BE67" s="36"/>
    </row>
    <row r="68" spans="2:57" s="30" customFormat="1" ht="30" x14ac:dyDescent="0.2">
      <c r="B68" s="166" t="s">
        <v>464</v>
      </c>
      <c r="C68" s="385"/>
      <c r="D68" s="86" t="s">
        <v>163</v>
      </c>
      <c r="E68" s="172"/>
      <c r="F68" s="33"/>
      <c r="G68" s="157"/>
      <c r="H68" s="81" t="str">
        <f>IF(D68="t","t/t","t/m3")</f>
        <v>t/m3</v>
      </c>
      <c r="J68" s="169" t="s">
        <v>395</v>
      </c>
      <c r="K68" s="92" t="str">
        <f>IFERROR(IF(ISNUMBER(L68),L68,(VLOOKUP(C69,Kalusto!$C$45:$G$84,5,FALSE)*VLOOKUP(C70,Muut!$D$40:$E$43,2,FALSE))),"--")</f>
        <v>--</v>
      </c>
      <c r="L68" s="39"/>
      <c r="M68" s="40" t="s">
        <v>184</v>
      </c>
      <c r="N68" s="40"/>
      <c r="O68" s="259"/>
      <c r="Q68" s="45"/>
      <c r="R68" s="213" t="str">
        <f>IF(AND(NOT(ISNUMBER(AB68)),NOT(ISNUMBER(AG68))),"",IF(ISNUMBER(AB68),AB68,0)+IF(ISNUMBER(AG68),AG68,0))</f>
        <v/>
      </c>
      <c r="S68" s="98" t="s">
        <v>160</v>
      </c>
      <c r="T68" s="211" t="str">
        <f>IFERROR(IF(ISNUMBER(L68),"Kohdetieto",VLOOKUP(C69,Kalusto!$C$45:$L$84,7,FALSE)),"--")</f>
        <v>--</v>
      </c>
      <c r="U68" s="211" t="str">
        <f>IFERROR(IF(ISNUMBER(L68),"Kohdetieto",VLOOKUP(C69,Kalusto!$C$45:$L$84,8,FALSE)),"--")</f>
        <v>--</v>
      </c>
      <c r="V68" s="212" t="str">
        <f>IFERROR(IF(ISNUMBER(L68),"Kohdetieto",VLOOKUP(C69,Kalusto!$C$45:$L$84,9,FALSE)),"--")</f>
        <v>--</v>
      </c>
      <c r="W68" s="212" t="str">
        <f>IFERROR(IF(ISNUMBER(L68),"Kohdetieto",VLOOKUP(C69,Kalusto!$C$45:$L$84,10,FALSE)),"--")</f>
        <v>--</v>
      </c>
      <c r="X68" s="213" t="str">
        <f>IF(ISBLANK(C68),"",IF(D68="t",C68,C68*G68))</f>
        <v/>
      </c>
      <c r="Y68" s="211" t="str">
        <f>IF(ISNUMBER(C71),C71,"")</f>
        <v/>
      </c>
      <c r="Z68" s="213" t="str">
        <f>IF(ISNUMBER(X68/(U68*V68)*Y68),X68/(U68*V68)*Y68,"")</f>
        <v/>
      </c>
      <c r="AA68" s="214" t="str">
        <f>IF(ISNUMBER(L68),L68,K68)</f>
        <v>--</v>
      </c>
      <c r="AB68" s="213" t="str">
        <f>IF(ISNUMBER(Y68*X68*K68),Y68*X68*K68,"")</f>
        <v/>
      </c>
      <c r="AC68" s="213" t="str">
        <f>IF(C88="Kyllä",Y68,"")</f>
        <v/>
      </c>
      <c r="AD68" s="213" t="str">
        <f>IF(C88="Kyllä",IF(ISNUMBER(X68/(U68*V68)),X68/(U68*V68),""),"")</f>
        <v/>
      </c>
      <c r="AE68" s="48" t="str">
        <f>IF(ISNUMBER(AD68*AC68),AD68*AC68,"")</f>
        <v/>
      </c>
      <c r="AF68" s="49" t="str">
        <f>IF(ISNUMBER(L69),L69,K69)</f>
        <v>--</v>
      </c>
      <c r="AG68" s="48" t="str">
        <f>IF(ISNUMBER(AC68*AD68*K69),AC68*AD68*K69,"")</f>
        <v/>
      </c>
      <c r="AH68" s="46">
        <f>IF(T68="Jakelukuorma-auto",0,IF(T68="Maansiirtoauto",4,IF(T68="Puoliperävaunu",6,8)))</f>
        <v>8</v>
      </c>
      <c r="AI68" s="46">
        <f>IF(AND(T68="Jakelukuorma-auto",U68=6),0,IF(AND(T68="Jakelukuorma-auto",U68=15),2,0))</f>
        <v>0</v>
      </c>
      <c r="AJ68" s="46">
        <f>IF(W68="maantieajo",0,1)</f>
        <v>1</v>
      </c>
      <c r="AK68" s="104"/>
      <c r="AL68" s="35"/>
      <c r="AM68" s="35"/>
      <c r="AN68" s="36"/>
      <c r="AO68" s="36"/>
      <c r="AP68" s="36"/>
      <c r="AQ68" s="36"/>
      <c r="AR68" s="36"/>
      <c r="AS68" s="36"/>
      <c r="AT68" s="36"/>
      <c r="AU68" s="36"/>
      <c r="AV68" s="36"/>
      <c r="AW68" s="36"/>
      <c r="AX68" s="36"/>
      <c r="AY68" s="36"/>
      <c r="AZ68" s="36"/>
      <c r="BA68" s="36"/>
      <c r="BB68" s="36"/>
      <c r="BC68" s="36"/>
      <c r="BD68" s="36"/>
      <c r="BE68" s="36"/>
    </row>
    <row r="69" spans="2:57" s="30" customFormat="1" ht="45" x14ac:dyDescent="0.2">
      <c r="B69" s="166" t="s">
        <v>463</v>
      </c>
      <c r="C69" s="471" t="s">
        <v>298</v>
      </c>
      <c r="D69" s="472"/>
      <c r="E69" s="472"/>
      <c r="F69" s="472"/>
      <c r="G69" s="473"/>
      <c r="H69" s="81"/>
      <c r="J69" s="32" t="s">
        <v>396</v>
      </c>
      <c r="K69" s="92" t="str">
        <f>IFERROR(IF(ISNUMBER(L69),L69,IF($C$88="Ei","",(VLOOKUP(C69,Kalusto!$C$45:$V$84,19,FALSE)*(VLOOKUP(C70,Muut!$D$40:$E$43,2,FALSE))))),"--")</f>
        <v>--</v>
      </c>
      <c r="L69" s="39"/>
      <c r="M69" s="40" t="s">
        <v>188</v>
      </c>
      <c r="N69" s="40"/>
      <c r="O69" s="259"/>
      <c r="P69" s="33"/>
      <c r="Q69" s="50"/>
      <c r="R69" s="43"/>
      <c r="S69" s="35"/>
      <c r="T69" s="43"/>
      <c r="U69" s="43"/>
      <c r="V69" s="43"/>
      <c r="W69" s="43"/>
      <c r="X69" s="43"/>
      <c r="Y69" s="43"/>
      <c r="Z69" s="43"/>
      <c r="AA69" s="43"/>
      <c r="AB69" s="43"/>
      <c r="AC69" s="43"/>
      <c r="AD69" s="43"/>
      <c r="AE69" s="35"/>
      <c r="AF69" s="35"/>
      <c r="AG69" s="35"/>
      <c r="AH69" s="35"/>
      <c r="AI69" s="35"/>
      <c r="AJ69" s="35"/>
      <c r="AK69" s="104"/>
      <c r="AL69" s="35"/>
      <c r="AM69" s="35"/>
      <c r="AN69" s="36"/>
      <c r="AO69" s="36"/>
      <c r="AP69" s="36"/>
      <c r="AQ69" s="36"/>
      <c r="AR69" s="36"/>
      <c r="AS69" s="36"/>
      <c r="AT69" s="36"/>
      <c r="AU69" s="36"/>
      <c r="AV69" s="36"/>
      <c r="AW69" s="36"/>
      <c r="AX69" s="36"/>
      <c r="AY69" s="36"/>
      <c r="AZ69" s="36"/>
      <c r="BA69" s="36"/>
      <c r="BB69" s="36"/>
      <c r="BC69" s="36"/>
      <c r="BD69" s="36"/>
      <c r="BE69" s="36"/>
    </row>
    <row r="70" spans="2:57" s="30" customFormat="1" ht="15" x14ac:dyDescent="0.2">
      <c r="B70" s="182" t="s">
        <v>457</v>
      </c>
      <c r="C70" s="156" t="s">
        <v>309</v>
      </c>
      <c r="D70" s="33"/>
      <c r="E70" s="33"/>
      <c r="F70" s="33"/>
      <c r="G70" s="33"/>
      <c r="H70" s="57"/>
      <c r="J70" s="169"/>
      <c r="K70" s="169"/>
      <c r="L70" s="169"/>
      <c r="M70" s="40"/>
      <c r="N70" s="40"/>
      <c r="O70" s="259"/>
      <c r="Q70" s="45"/>
      <c r="R70" s="226"/>
      <c r="S70" s="98"/>
      <c r="T70" s="43"/>
      <c r="U70" s="43"/>
      <c r="V70" s="215"/>
      <c r="W70" s="215"/>
      <c r="X70" s="216"/>
      <c r="Y70" s="43"/>
      <c r="Z70" s="216"/>
      <c r="AA70" s="217"/>
      <c r="AB70" s="216"/>
      <c r="AC70" s="216"/>
      <c r="AD70" s="216"/>
      <c r="AE70" s="59"/>
      <c r="AF70" s="178"/>
      <c r="AG70" s="59"/>
      <c r="AH70" s="35"/>
      <c r="AI70" s="35"/>
      <c r="AJ70" s="35"/>
      <c r="AK70" s="104"/>
      <c r="AL70" s="35"/>
      <c r="AM70" s="35"/>
      <c r="AN70" s="36"/>
      <c r="AO70" s="36"/>
      <c r="AP70" s="36"/>
      <c r="AQ70" s="36"/>
      <c r="AR70" s="36"/>
      <c r="AS70" s="36"/>
      <c r="AT70" s="36"/>
      <c r="AU70" s="36"/>
      <c r="AV70" s="36"/>
      <c r="AW70" s="36"/>
      <c r="AX70" s="36"/>
      <c r="AY70" s="36"/>
      <c r="AZ70" s="36"/>
      <c r="BA70" s="36"/>
      <c r="BB70" s="36"/>
      <c r="BC70" s="36"/>
      <c r="BD70" s="36"/>
      <c r="BE70" s="36"/>
    </row>
    <row r="71" spans="2:57" s="30" customFormat="1" ht="15" x14ac:dyDescent="0.2">
      <c r="B71" s="44" t="s">
        <v>465</v>
      </c>
      <c r="C71" s="386"/>
      <c r="D71" s="81" t="s">
        <v>5</v>
      </c>
      <c r="G71" s="33"/>
      <c r="H71" s="81"/>
      <c r="J71" s="51"/>
      <c r="K71" s="33"/>
      <c r="L71" s="33"/>
      <c r="M71" s="81"/>
      <c r="N71" s="81"/>
      <c r="O71" s="96"/>
      <c r="P71" s="51"/>
      <c r="Q71" s="50"/>
      <c r="R71" s="43"/>
      <c r="S71" s="35"/>
      <c r="T71" s="43"/>
      <c r="U71" s="43"/>
      <c r="V71" s="43"/>
      <c r="W71" s="43"/>
      <c r="X71" s="43"/>
      <c r="Y71" s="43"/>
      <c r="Z71" s="43"/>
      <c r="AA71" s="43"/>
      <c r="AB71" s="43"/>
      <c r="AC71" s="43"/>
      <c r="AD71" s="43"/>
      <c r="AE71" s="35"/>
      <c r="AF71" s="35"/>
      <c r="AG71" s="35"/>
      <c r="AH71" s="35"/>
      <c r="AI71" s="35"/>
      <c r="AJ71" s="35"/>
      <c r="AK71" s="104"/>
      <c r="AL71" s="35"/>
      <c r="AM71" s="35"/>
      <c r="AN71" s="36"/>
      <c r="AO71" s="36"/>
      <c r="AP71" s="36"/>
      <c r="AQ71" s="36"/>
      <c r="AR71" s="36"/>
      <c r="AS71" s="36"/>
      <c r="AT71" s="36"/>
      <c r="AU71" s="36"/>
      <c r="AV71" s="36"/>
      <c r="AW71" s="36"/>
      <c r="AX71" s="36"/>
      <c r="AY71" s="36"/>
      <c r="AZ71" s="36"/>
      <c r="BA71" s="36"/>
      <c r="BB71" s="36"/>
      <c r="BC71" s="36"/>
      <c r="BD71" s="36"/>
      <c r="BE71" s="36"/>
    </row>
    <row r="72" spans="2:57" s="30" customFormat="1" ht="15" x14ac:dyDescent="0.2">
      <c r="B72" s="151" t="s">
        <v>413</v>
      </c>
      <c r="C72" s="33"/>
      <c r="D72" s="81"/>
      <c r="G72" s="33"/>
      <c r="H72" s="81"/>
      <c r="J72" s="32"/>
      <c r="K72" s="37" t="s">
        <v>297</v>
      </c>
      <c r="L72" s="37" t="s">
        <v>185</v>
      </c>
      <c r="M72" s="81"/>
      <c r="N72" s="81"/>
      <c r="O72" s="96"/>
      <c r="P72" s="33"/>
      <c r="Q72" s="34"/>
      <c r="R72" s="216" t="s">
        <v>318</v>
      </c>
      <c r="S72" s="35"/>
      <c r="T72" s="43" t="s">
        <v>400</v>
      </c>
      <c r="U72" s="43" t="s">
        <v>399</v>
      </c>
      <c r="V72" s="43" t="s">
        <v>397</v>
      </c>
      <c r="W72" s="43" t="s">
        <v>398</v>
      </c>
      <c r="X72" s="43" t="s">
        <v>401</v>
      </c>
      <c r="Y72" s="43" t="s">
        <v>403</v>
      </c>
      <c r="Z72" s="43" t="s">
        <v>402</v>
      </c>
      <c r="AA72" s="43" t="s">
        <v>186</v>
      </c>
      <c r="AB72" s="43" t="s">
        <v>345</v>
      </c>
      <c r="AC72" s="43" t="s">
        <v>404</v>
      </c>
      <c r="AD72" s="43" t="s">
        <v>346</v>
      </c>
      <c r="AE72" s="43" t="s">
        <v>405</v>
      </c>
      <c r="AF72" s="43" t="s">
        <v>406</v>
      </c>
      <c r="AG72" s="43" t="s">
        <v>578</v>
      </c>
      <c r="AH72" s="35" t="s">
        <v>190</v>
      </c>
      <c r="AI72" s="35" t="s">
        <v>249</v>
      </c>
      <c r="AJ72" s="35" t="s">
        <v>191</v>
      </c>
      <c r="AK72" s="104"/>
      <c r="AL72" s="35"/>
      <c r="AM72" s="35"/>
      <c r="AN72" s="36"/>
      <c r="AO72" s="36"/>
      <c r="AP72" s="36"/>
      <c r="AQ72" s="36"/>
      <c r="AR72" s="36"/>
      <c r="AS72" s="36"/>
      <c r="AT72" s="36"/>
      <c r="AU72" s="36"/>
      <c r="AV72" s="36"/>
      <c r="AW72" s="36"/>
      <c r="AX72" s="36"/>
      <c r="AY72" s="36"/>
      <c r="AZ72" s="36"/>
      <c r="BA72" s="36"/>
      <c r="BB72" s="36"/>
      <c r="BC72" s="36"/>
      <c r="BD72" s="36"/>
      <c r="BE72" s="36"/>
    </row>
    <row r="73" spans="2:57" s="30" customFormat="1" ht="30" x14ac:dyDescent="0.2">
      <c r="B73" s="166" t="s">
        <v>464</v>
      </c>
      <c r="C73" s="385"/>
      <c r="D73" s="86" t="s">
        <v>163</v>
      </c>
      <c r="E73" s="172"/>
      <c r="F73" s="33"/>
      <c r="G73" s="157"/>
      <c r="H73" s="81" t="str">
        <f>IF(D73="t","t/t","t/m3")</f>
        <v>t/m3</v>
      </c>
      <c r="J73" s="169" t="s">
        <v>395</v>
      </c>
      <c r="K73" s="92" t="str">
        <f>IFERROR(IF(ISNUMBER(L73),L73,(VLOOKUP(C74,Kalusto!$C$45:$G$84,5,FALSE)*VLOOKUP(C75,Muut!$D$40:$E$43,2,FALSE))),"--")</f>
        <v>--</v>
      </c>
      <c r="L73" s="39"/>
      <c r="M73" s="40" t="s">
        <v>184</v>
      </c>
      <c r="N73" s="40"/>
      <c r="O73" s="259"/>
      <c r="Q73" s="45"/>
      <c r="R73" s="213" t="str">
        <f>IF(AND(NOT(ISNUMBER(AB73)),NOT(ISNUMBER(AG73))),"",IF(ISNUMBER(AB73),AB73,0)+IF(ISNUMBER(AG73),AG73,0))</f>
        <v/>
      </c>
      <c r="S73" s="98" t="s">
        <v>160</v>
      </c>
      <c r="T73" s="211" t="str">
        <f>IFERROR(IF(ISNUMBER(L73),"Kohdetieto",VLOOKUP(C74,Kalusto!$C$45:$L$84,7,FALSE)),"--")</f>
        <v>--</v>
      </c>
      <c r="U73" s="211" t="str">
        <f>IFERROR(IF(ISNUMBER(L73),"Kohdetieto",VLOOKUP(C74,Kalusto!$C$45:$L$84,8,FALSE)),"--")</f>
        <v>--</v>
      </c>
      <c r="V73" s="212" t="str">
        <f>IFERROR(IF(ISNUMBER(L73),"Kohdetieto",VLOOKUP(C74,Kalusto!$C$45:$L$84,9,FALSE)),"--")</f>
        <v>--</v>
      </c>
      <c r="W73" s="212" t="str">
        <f>IFERROR(IF(ISNUMBER(L73),"Kohdetieto",VLOOKUP(C74,Kalusto!$C$45:$L$84,10,FALSE)),"--")</f>
        <v>--</v>
      </c>
      <c r="X73" s="213" t="str">
        <f>IF(ISBLANK(C73),"",IF(D73="t",C73,C73*G73))</f>
        <v/>
      </c>
      <c r="Y73" s="211" t="str">
        <f>IF(ISNUMBER(C76),C76,"")</f>
        <v/>
      </c>
      <c r="Z73" s="213" t="str">
        <f>IF(ISNUMBER(X73/(U73*V73)*Y73),X73/(U73*V73)*Y73,"")</f>
        <v/>
      </c>
      <c r="AA73" s="214" t="str">
        <f>IF(ISNUMBER(L73),L73,K73)</f>
        <v>--</v>
      </c>
      <c r="AB73" s="213" t="str">
        <f>IF(ISNUMBER(Y73*X73*K73),Y73*X73*K73,"")</f>
        <v/>
      </c>
      <c r="AC73" s="213" t="str">
        <f>IF(C88="Kyllä",Y73,"")</f>
        <v/>
      </c>
      <c r="AD73" s="213" t="str">
        <f>IF(C88="Kyllä",IF(ISNUMBER(X73/(U73*V73)),X73/(U73*V73),""),"")</f>
        <v/>
      </c>
      <c r="AE73" s="48" t="str">
        <f>IF(ISNUMBER(AD73*AC73),AD73*AC73,"")</f>
        <v/>
      </c>
      <c r="AF73" s="49" t="str">
        <f>IF(ISNUMBER(L74),L74,K74)</f>
        <v>--</v>
      </c>
      <c r="AG73" s="48" t="str">
        <f>IF(ISNUMBER(AC73*AD73*K74),AC73*AD73*K74,"")</f>
        <v/>
      </c>
      <c r="AH73" s="46">
        <f>IF(T73="Jakelukuorma-auto",0,IF(T73="Maansiirtoauto",4,IF(T73="Puoliperävaunu",6,8)))</f>
        <v>8</v>
      </c>
      <c r="AI73" s="46">
        <f>IF(AND(T73="Jakelukuorma-auto",U73=6),0,IF(AND(T73="Jakelukuorma-auto",U73=15),2,0))</f>
        <v>0</v>
      </c>
      <c r="AJ73" s="46">
        <f>IF(W73="maantieajo",0,1)</f>
        <v>1</v>
      </c>
      <c r="AK73" s="104"/>
      <c r="AL73" s="35"/>
      <c r="AM73" s="35"/>
      <c r="AN73" s="36"/>
      <c r="AO73" s="36"/>
      <c r="AP73" s="36"/>
      <c r="AQ73" s="36"/>
      <c r="AR73" s="36"/>
      <c r="AS73" s="36"/>
      <c r="AT73" s="36"/>
      <c r="AU73" s="36"/>
      <c r="AV73" s="36"/>
      <c r="AW73" s="36"/>
      <c r="AX73" s="36"/>
      <c r="AY73" s="36"/>
      <c r="AZ73" s="36"/>
      <c r="BA73" s="36"/>
      <c r="BB73" s="36"/>
      <c r="BC73" s="36"/>
      <c r="BD73" s="36"/>
      <c r="BE73" s="36"/>
    </row>
    <row r="74" spans="2:57" s="30" customFormat="1" ht="45" x14ac:dyDescent="0.2">
      <c r="B74" s="166" t="s">
        <v>463</v>
      </c>
      <c r="C74" s="471" t="s">
        <v>298</v>
      </c>
      <c r="D74" s="472"/>
      <c r="E74" s="472"/>
      <c r="F74" s="472"/>
      <c r="G74" s="473"/>
      <c r="H74" s="81"/>
      <c r="J74" s="32" t="s">
        <v>396</v>
      </c>
      <c r="K74" s="92" t="str">
        <f>IFERROR(IF(ISNUMBER(L74),L74,IF($C$88="Ei","",(VLOOKUP(C74,Kalusto!$C$45:$V$84,19,FALSE)*(VLOOKUP(C75,Muut!$D$40:$E$43,2,FALSE))))),"--")</f>
        <v>--</v>
      </c>
      <c r="L74" s="39"/>
      <c r="M74" s="40" t="s">
        <v>188</v>
      </c>
      <c r="N74" s="40"/>
      <c r="O74" s="259"/>
      <c r="P74" s="33"/>
      <c r="Q74" s="50"/>
      <c r="R74" s="43"/>
      <c r="S74" s="35"/>
      <c r="T74" s="43"/>
      <c r="U74" s="43"/>
      <c r="V74" s="43"/>
      <c r="W74" s="43"/>
      <c r="X74" s="43"/>
      <c r="Y74" s="43"/>
      <c r="Z74" s="43"/>
      <c r="AA74" s="43"/>
      <c r="AB74" s="43"/>
      <c r="AC74" s="43"/>
      <c r="AD74" s="43"/>
      <c r="AE74" s="35"/>
      <c r="AF74" s="35"/>
      <c r="AG74" s="35"/>
      <c r="AH74" s="35"/>
      <c r="AI74" s="35"/>
      <c r="AJ74" s="35"/>
      <c r="AK74" s="104"/>
      <c r="AL74" s="35"/>
      <c r="AM74" s="35"/>
      <c r="AN74" s="36"/>
      <c r="AO74" s="36"/>
      <c r="AP74" s="36"/>
      <c r="AQ74" s="36"/>
      <c r="AR74" s="36"/>
      <c r="AS74" s="36"/>
      <c r="AT74" s="36"/>
      <c r="AU74" s="36"/>
      <c r="AV74" s="36"/>
      <c r="AW74" s="36"/>
      <c r="AX74" s="36"/>
      <c r="AY74" s="36"/>
      <c r="AZ74" s="36"/>
      <c r="BA74" s="36"/>
      <c r="BB74" s="36"/>
      <c r="BC74" s="36"/>
      <c r="BD74" s="36"/>
      <c r="BE74" s="36"/>
    </row>
    <row r="75" spans="2:57" s="30" customFormat="1" ht="15" x14ac:dyDescent="0.2">
      <c r="B75" s="182" t="s">
        <v>457</v>
      </c>
      <c r="C75" s="156" t="s">
        <v>309</v>
      </c>
      <c r="D75" s="33"/>
      <c r="E75" s="33"/>
      <c r="F75" s="33"/>
      <c r="G75" s="33"/>
      <c r="H75" s="57"/>
      <c r="J75" s="169"/>
      <c r="K75" s="169"/>
      <c r="L75" s="169"/>
      <c r="M75" s="40"/>
      <c r="N75" s="40"/>
      <c r="O75" s="259"/>
      <c r="Q75" s="45"/>
      <c r="R75" s="226"/>
      <c r="S75" s="98"/>
      <c r="T75" s="43"/>
      <c r="U75" s="43"/>
      <c r="V75" s="215"/>
      <c r="W75" s="215"/>
      <c r="X75" s="216"/>
      <c r="Y75" s="43"/>
      <c r="Z75" s="216"/>
      <c r="AA75" s="217"/>
      <c r="AB75" s="216"/>
      <c r="AC75" s="216"/>
      <c r="AD75" s="216"/>
      <c r="AE75" s="59"/>
      <c r="AF75" s="178"/>
      <c r="AG75" s="59"/>
      <c r="AH75" s="35"/>
      <c r="AI75" s="35"/>
      <c r="AJ75" s="35"/>
      <c r="AK75" s="104"/>
      <c r="AL75" s="35"/>
      <c r="AM75" s="35"/>
      <c r="AN75" s="36"/>
      <c r="AO75" s="36"/>
      <c r="AP75" s="36"/>
      <c r="AQ75" s="36"/>
      <c r="AR75" s="36"/>
      <c r="AS75" s="36"/>
      <c r="AT75" s="36"/>
      <c r="AU75" s="36"/>
      <c r="AV75" s="36"/>
      <c r="AW75" s="36"/>
      <c r="AX75" s="36"/>
      <c r="AY75" s="36"/>
      <c r="AZ75" s="36"/>
      <c r="BA75" s="36"/>
      <c r="BB75" s="36"/>
      <c r="BC75" s="36"/>
      <c r="BD75" s="36"/>
      <c r="BE75" s="36"/>
    </row>
    <row r="76" spans="2:57" s="30" customFormat="1" ht="15" x14ac:dyDescent="0.2">
      <c r="B76" s="44" t="s">
        <v>465</v>
      </c>
      <c r="C76" s="386"/>
      <c r="D76" s="81" t="s">
        <v>5</v>
      </c>
      <c r="G76" s="33"/>
      <c r="H76" s="81"/>
      <c r="J76" s="51"/>
      <c r="K76" s="33"/>
      <c r="L76" s="33"/>
      <c r="M76" s="81"/>
      <c r="N76" s="81"/>
      <c r="O76" s="96"/>
      <c r="P76" s="51"/>
      <c r="Q76" s="50"/>
      <c r="R76" s="43"/>
      <c r="S76" s="35"/>
      <c r="T76" s="43"/>
      <c r="U76" s="43"/>
      <c r="V76" s="43"/>
      <c r="W76" s="43"/>
      <c r="X76" s="43"/>
      <c r="Y76" s="43"/>
      <c r="Z76" s="43"/>
      <c r="AA76" s="43"/>
      <c r="AB76" s="43"/>
      <c r="AC76" s="43"/>
      <c r="AD76" s="43"/>
      <c r="AE76" s="35"/>
      <c r="AF76" s="35"/>
      <c r="AG76" s="35"/>
      <c r="AH76" s="35"/>
      <c r="AI76" s="35"/>
      <c r="AJ76" s="35"/>
      <c r="AK76" s="104"/>
      <c r="AL76" s="35"/>
      <c r="AM76" s="35"/>
      <c r="AN76" s="36"/>
      <c r="AO76" s="36"/>
      <c r="AP76" s="36"/>
      <c r="AQ76" s="36"/>
      <c r="AR76" s="36"/>
      <c r="AS76" s="36"/>
      <c r="AT76" s="36"/>
      <c r="AU76" s="36"/>
      <c r="AV76" s="36"/>
      <c r="AW76" s="36"/>
      <c r="AX76" s="36"/>
      <c r="AY76" s="36"/>
      <c r="AZ76" s="36"/>
      <c r="BA76" s="36"/>
      <c r="BB76" s="36"/>
      <c r="BC76" s="36"/>
      <c r="BD76" s="36"/>
      <c r="BE76" s="36"/>
    </row>
    <row r="77" spans="2:57" s="30" customFormat="1" ht="15" x14ac:dyDescent="0.2">
      <c r="B77" s="151" t="s">
        <v>414</v>
      </c>
      <c r="C77" s="33"/>
      <c r="D77" s="81"/>
      <c r="G77" s="33"/>
      <c r="H77" s="81"/>
      <c r="J77" s="32"/>
      <c r="K77" s="37" t="s">
        <v>297</v>
      </c>
      <c r="L77" s="37" t="s">
        <v>185</v>
      </c>
      <c r="M77" s="81"/>
      <c r="N77" s="81"/>
      <c r="O77" s="96"/>
      <c r="P77" s="33"/>
      <c r="Q77" s="34"/>
      <c r="R77" s="216" t="s">
        <v>318</v>
      </c>
      <c r="S77" s="35"/>
      <c r="T77" s="43" t="s">
        <v>400</v>
      </c>
      <c r="U77" s="43" t="s">
        <v>399</v>
      </c>
      <c r="V77" s="43" t="s">
        <v>397</v>
      </c>
      <c r="W77" s="43" t="s">
        <v>398</v>
      </c>
      <c r="X77" s="43" t="s">
        <v>401</v>
      </c>
      <c r="Y77" s="43" t="s">
        <v>403</v>
      </c>
      <c r="Z77" s="43" t="s">
        <v>402</v>
      </c>
      <c r="AA77" s="43" t="s">
        <v>186</v>
      </c>
      <c r="AB77" s="43" t="s">
        <v>345</v>
      </c>
      <c r="AC77" s="43" t="s">
        <v>404</v>
      </c>
      <c r="AD77" s="43" t="s">
        <v>346</v>
      </c>
      <c r="AE77" s="43" t="s">
        <v>405</v>
      </c>
      <c r="AF77" s="43" t="s">
        <v>406</v>
      </c>
      <c r="AG77" s="43" t="s">
        <v>578</v>
      </c>
      <c r="AH77" s="35" t="s">
        <v>190</v>
      </c>
      <c r="AI77" s="35" t="s">
        <v>249</v>
      </c>
      <c r="AJ77" s="35" t="s">
        <v>191</v>
      </c>
      <c r="AK77" s="104"/>
      <c r="AL77" s="35"/>
      <c r="AM77" s="35"/>
      <c r="AN77" s="36"/>
      <c r="AO77" s="36"/>
      <c r="AP77" s="36"/>
      <c r="AQ77" s="36"/>
      <c r="AR77" s="36"/>
      <c r="AS77" s="36"/>
      <c r="AT77" s="36"/>
      <c r="AU77" s="36"/>
      <c r="AV77" s="36"/>
      <c r="AW77" s="36"/>
      <c r="AX77" s="36"/>
      <c r="AY77" s="36"/>
      <c r="AZ77" s="36"/>
      <c r="BA77" s="36"/>
      <c r="BB77" s="36"/>
      <c r="BC77" s="36"/>
      <c r="BD77" s="36"/>
      <c r="BE77" s="36"/>
    </row>
    <row r="78" spans="2:57" s="30" customFormat="1" ht="30" x14ac:dyDescent="0.2">
      <c r="B78" s="166" t="s">
        <v>464</v>
      </c>
      <c r="C78" s="385"/>
      <c r="D78" s="86" t="s">
        <v>163</v>
      </c>
      <c r="E78" s="33"/>
      <c r="F78" s="33"/>
      <c r="G78" s="157"/>
      <c r="H78" s="81" t="str">
        <f>IF(D78="t","t/t","t/m3")</f>
        <v>t/m3</v>
      </c>
      <c r="J78" s="169" t="s">
        <v>395</v>
      </c>
      <c r="K78" s="92" t="str">
        <f>IFERROR(IF(ISNUMBER(L78),L78,(VLOOKUP(C79,Kalusto!$C$45:$G$84,5,FALSE)*VLOOKUP(C80,Muut!$D$40:$E$43,2,FALSE))),"--")</f>
        <v>--</v>
      </c>
      <c r="L78" s="39"/>
      <c r="M78" s="40" t="s">
        <v>184</v>
      </c>
      <c r="N78" s="40"/>
      <c r="O78" s="259"/>
      <c r="Q78" s="45"/>
      <c r="R78" s="213" t="str">
        <f>IF(AND(NOT(ISNUMBER(AB78)),NOT(ISNUMBER(AG78))),"",IF(ISNUMBER(AB78),AB78,0)+IF(ISNUMBER(AG78),AG78,0))</f>
        <v/>
      </c>
      <c r="S78" s="98" t="s">
        <v>160</v>
      </c>
      <c r="T78" s="211" t="str">
        <f>IFERROR(IF(ISNUMBER(L78),"Kohdetieto",VLOOKUP(C79,Kalusto!$C$45:$L$84,7,FALSE)),"--")</f>
        <v>--</v>
      </c>
      <c r="U78" s="211" t="str">
        <f>IFERROR(IF(ISNUMBER(L78),"Kohdetieto",VLOOKUP(C79,Kalusto!$C$45:$L$84,8,FALSE)),"--")</f>
        <v>--</v>
      </c>
      <c r="V78" s="212" t="str">
        <f>IFERROR(IF(ISNUMBER(L78),"Kohdetieto",VLOOKUP(C79,Kalusto!$C$45:$L$84,9,FALSE)),"--")</f>
        <v>--</v>
      </c>
      <c r="W78" s="212" t="str">
        <f>IFERROR(IF(ISNUMBER(L78),"Kohdetieto",VLOOKUP(C79,Kalusto!$C$45:$L$84,10,FALSE)),"--")</f>
        <v>--</v>
      </c>
      <c r="X78" s="213" t="str">
        <f>IF(ISBLANK(C78),"",IF(D78="t",C78,C78*G78))</f>
        <v/>
      </c>
      <c r="Y78" s="211" t="str">
        <f>IF(ISNUMBER(C81),C81,"")</f>
        <v/>
      </c>
      <c r="Z78" s="213" t="str">
        <f>IF(ISNUMBER(X78/(U78*V78)*Y78),X78/(U78*V78)*Y78,"")</f>
        <v/>
      </c>
      <c r="AA78" s="214" t="str">
        <f>IF(ISNUMBER(L78),L78,K78)</f>
        <v>--</v>
      </c>
      <c r="AB78" s="213" t="str">
        <f>IF(ISNUMBER(Y78*X78*K78),Y78*X78*K78,"")</f>
        <v/>
      </c>
      <c r="AC78" s="213" t="str">
        <f>IF(C88="Kyllä",Y78,"")</f>
        <v/>
      </c>
      <c r="AD78" s="213" t="str">
        <f>IF(C88="Kyllä",IF(ISNUMBER(X78/(U78*V78)),X78/(U78*V78),""),"")</f>
        <v/>
      </c>
      <c r="AE78" s="48" t="str">
        <f>IF(ISNUMBER(AD78*AC78),AD78*AC78,"")</f>
        <v/>
      </c>
      <c r="AF78" s="49" t="str">
        <f>IF(ISNUMBER(L79),L79,K79)</f>
        <v>--</v>
      </c>
      <c r="AG78" s="48" t="str">
        <f>IF(ISNUMBER(AC78*AD78*K79),AC78*AD78*K79,"")</f>
        <v/>
      </c>
      <c r="AH78" s="46">
        <f>IF(T78="Jakelukuorma-auto",0,IF(T78="Maansiirtoauto",4,IF(T78="Puoliperävaunu",6,8)))</f>
        <v>8</v>
      </c>
      <c r="AI78" s="46">
        <f>IF(AND(T78="Jakelukuorma-auto",U78=6),0,IF(AND(T78="Jakelukuorma-auto",U78=15),2,0))</f>
        <v>0</v>
      </c>
      <c r="AJ78" s="46">
        <f>IF(W78="maantieajo",0,1)</f>
        <v>1</v>
      </c>
      <c r="AK78" s="104"/>
      <c r="AL78" s="35"/>
      <c r="AM78" s="35"/>
      <c r="AN78" s="36"/>
      <c r="AO78" s="36"/>
      <c r="AP78" s="36"/>
      <c r="AQ78" s="36"/>
      <c r="AR78" s="36"/>
      <c r="AS78" s="36"/>
      <c r="AT78" s="36"/>
      <c r="AU78" s="36"/>
      <c r="AV78" s="36"/>
      <c r="AW78" s="36"/>
      <c r="AX78" s="36"/>
      <c r="AY78" s="36"/>
      <c r="AZ78" s="36"/>
      <c r="BA78" s="36"/>
      <c r="BB78" s="36"/>
      <c r="BC78" s="36"/>
      <c r="BD78" s="36"/>
      <c r="BE78" s="36"/>
    </row>
    <row r="79" spans="2:57" s="30" customFormat="1" ht="45" x14ac:dyDescent="0.2">
      <c r="B79" s="166" t="s">
        <v>463</v>
      </c>
      <c r="C79" s="471" t="s">
        <v>298</v>
      </c>
      <c r="D79" s="472"/>
      <c r="E79" s="472"/>
      <c r="F79" s="472"/>
      <c r="G79" s="473"/>
      <c r="H79" s="81"/>
      <c r="J79" s="32" t="s">
        <v>396</v>
      </c>
      <c r="K79" s="92" t="str">
        <f>IFERROR(IF(ISNUMBER(L79),L79,IF($C$88="Ei","",(VLOOKUP(C79,Kalusto!$C$45:$V$84,19,FALSE)*(VLOOKUP(C80,Muut!$D$40:$E$43,2,FALSE))))),"--")</f>
        <v>--</v>
      </c>
      <c r="L79" s="39"/>
      <c r="M79" s="40" t="s">
        <v>188</v>
      </c>
      <c r="N79" s="40"/>
      <c r="O79" s="259"/>
      <c r="P79" s="33"/>
      <c r="Q79" s="50"/>
      <c r="R79" s="43"/>
      <c r="S79" s="35"/>
      <c r="T79" s="43"/>
      <c r="U79" s="43"/>
      <c r="V79" s="43"/>
      <c r="W79" s="43"/>
      <c r="X79" s="43"/>
      <c r="Y79" s="43"/>
      <c r="Z79" s="43"/>
      <c r="AA79" s="43"/>
      <c r="AB79" s="43"/>
      <c r="AC79" s="43"/>
      <c r="AD79" s="43"/>
      <c r="AE79" s="35"/>
      <c r="AF79" s="35"/>
      <c r="AG79" s="35"/>
      <c r="AH79" s="35"/>
      <c r="AI79" s="35"/>
      <c r="AJ79" s="35"/>
      <c r="AK79" s="104"/>
      <c r="AL79" s="35"/>
      <c r="AM79" s="35"/>
      <c r="AN79" s="36"/>
      <c r="AO79" s="36"/>
      <c r="AP79" s="36"/>
      <c r="AQ79" s="36"/>
      <c r="AR79" s="36"/>
      <c r="AS79" s="36"/>
      <c r="AT79" s="36"/>
      <c r="AU79" s="36"/>
      <c r="AV79" s="36"/>
      <c r="AW79" s="36"/>
      <c r="AX79" s="36"/>
      <c r="AY79" s="36"/>
      <c r="AZ79" s="36"/>
      <c r="BA79" s="36"/>
      <c r="BB79" s="36"/>
      <c r="BC79" s="36"/>
      <c r="BD79" s="36"/>
      <c r="BE79" s="36"/>
    </row>
    <row r="80" spans="2:57" s="30" customFormat="1" ht="15" x14ac:dyDescent="0.2">
      <c r="B80" s="182" t="s">
        <v>457</v>
      </c>
      <c r="C80" s="156" t="s">
        <v>309</v>
      </c>
      <c r="D80" s="33"/>
      <c r="E80" s="33"/>
      <c r="F80" s="33"/>
      <c r="G80" s="33"/>
      <c r="H80" s="57"/>
      <c r="J80" s="169"/>
      <c r="K80" s="169"/>
      <c r="L80" s="169"/>
      <c r="M80" s="40"/>
      <c r="N80" s="40"/>
      <c r="O80" s="259"/>
      <c r="Q80" s="45"/>
      <c r="R80" s="226"/>
      <c r="S80" s="98"/>
      <c r="T80" s="43"/>
      <c r="U80" s="43"/>
      <c r="V80" s="215"/>
      <c r="W80" s="215"/>
      <c r="X80" s="216"/>
      <c r="Y80" s="43"/>
      <c r="Z80" s="216"/>
      <c r="AA80" s="217"/>
      <c r="AB80" s="216"/>
      <c r="AC80" s="216"/>
      <c r="AD80" s="216"/>
      <c r="AE80" s="59"/>
      <c r="AF80" s="178"/>
      <c r="AG80" s="59"/>
      <c r="AH80" s="35"/>
      <c r="AI80" s="35"/>
      <c r="AJ80" s="35"/>
      <c r="AK80" s="104"/>
      <c r="AL80" s="35"/>
      <c r="AM80" s="35"/>
      <c r="AN80" s="36"/>
      <c r="AO80" s="36"/>
      <c r="AP80" s="36"/>
      <c r="AQ80" s="36"/>
      <c r="AR80" s="36"/>
      <c r="AS80" s="36"/>
      <c r="AT80" s="36"/>
      <c r="AU80" s="36"/>
      <c r="AV80" s="36"/>
      <c r="AW80" s="36"/>
      <c r="AX80" s="36"/>
      <c r="AY80" s="36"/>
      <c r="AZ80" s="36"/>
      <c r="BA80" s="36"/>
      <c r="BB80" s="36"/>
      <c r="BC80" s="36"/>
      <c r="BD80" s="36"/>
      <c r="BE80" s="36"/>
    </row>
    <row r="81" spans="2:57" s="30" customFormat="1" ht="15" x14ac:dyDescent="0.2">
      <c r="B81" s="44" t="s">
        <v>465</v>
      </c>
      <c r="C81" s="386"/>
      <c r="D81" s="87" t="s">
        <v>164</v>
      </c>
      <c r="E81" s="56"/>
      <c r="F81" s="56"/>
      <c r="G81" s="33"/>
      <c r="H81" s="81"/>
      <c r="J81" s="51"/>
      <c r="K81" s="33"/>
      <c r="L81" s="33"/>
      <c r="M81" s="81"/>
      <c r="N81" s="81"/>
      <c r="O81" s="96"/>
      <c r="P81" s="51"/>
      <c r="Q81" s="50"/>
      <c r="R81" s="43"/>
      <c r="S81" s="35"/>
      <c r="T81" s="43"/>
      <c r="U81" s="43"/>
      <c r="V81" s="43"/>
      <c r="W81" s="43"/>
      <c r="X81" s="43"/>
      <c r="Y81" s="43"/>
      <c r="Z81" s="43"/>
      <c r="AA81" s="43"/>
      <c r="AB81" s="43"/>
      <c r="AC81" s="43"/>
      <c r="AD81" s="43"/>
      <c r="AE81" s="35"/>
      <c r="AF81" s="35"/>
      <c r="AG81" s="35"/>
      <c r="AH81" s="35"/>
      <c r="AI81" s="35"/>
      <c r="AJ81" s="35"/>
      <c r="AK81" s="104"/>
      <c r="AL81" s="35"/>
      <c r="AM81" s="35"/>
      <c r="AN81" s="36"/>
      <c r="AO81" s="36"/>
      <c r="AP81" s="36"/>
      <c r="AQ81" s="36"/>
      <c r="AR81" s="36"/>
      <c r="AS81" s="36"/>
      <c r="AT81" s="36"/>
      <c r="AU81" s="36"/>
      <c r="AV81" s="36"/>
      <c r="AW81" s="36"/>
      <c r="AX81" s="36"/>
      <c r="AY81" s="36"/>
      <c r="AZ81" s="36"/>
      <c r="BA81" s="36"/>
      <c r="BB81" s="36"/>
      <c r="BC81" s="36"/>
      <c r="BD81" s="36"/>
      <c r="BE81" s="36"/>
    </row>
    <row r="82" spans="2:57" s="30" customFormat="1" ht="15" x14ac:dyDescent="0.2">
      <c r="B82" s="151" t="s">
        <v>302</v>
      </c>
      <c r="C82" s="33"/>
      <c r="D82" s="81"/>
      <c r="G82" s="33"/>
      <c r="H82" s="81"/>
      <c r="J82" s="32"/>
      <c r="K82" s="37" t="s">
        <v>297</v>
      </c>
      <c r="L82" s="37" t="s">
        <v>185</v>
      </c>
      <c r="M82" s="81"/>
      <c r="N82" s="81"/>
      <c r="O82" s="96"/>
      <c r="P82" s="33"/>
      <c r="Q82" s="34"/>
      <c r="R82" s="216" t="s">
        <v>318</v>
      </c>
      <c r="S82" s="35"/>
      <c r="T82" s="43" t="s">
        <v>400</v>
      </c>
      <c r="U82" s="43" t="s">
        <v>399</v>
      </c>
      <c r="V82" s="43" t="s">
        <v>397</v>
      </c>
      <c r="W82" s="43" t="s">
        <v>398</v>
      </c>
      <c r="X82" s="43" t="s">
        <v>401</v>
      </c>
      <c r="Y82" s="43" t="s">
        <v>403</v>
      </c>
      <c r="Z82" s="43" t="s">
        <v>402</v>
      </c>
      <c r="AA82" s="43" t="s">
        <v>186</v>
      </c>
      <c r="AB82" s="43" t="s">
        <v>345</v>
      </c>
      <c r="AC82" s="43" t="s">
        <v>404</v>
      </c>
      <c r="AD82" s="43" t="s">
        <v>346</v>
      </c>
      <c r="AE82" s="43" t="s">
        <v>405</v>
      </c>
      <c r="AF82" s="43" t="s">
        <v>406</v>
      </c>
      <c r="AG82" s="43" t="s">
        <v>578</v>
      </c>
      <c r="AH82" s="35" t="s">
        <v>190</v>
      </c>
      <c r="AI82" s="35" t="s">
        <v>249</v>
      </c>
      <c r="AJ82" s="35" t="s">
        <v>191</v>
      </c>
      <c r="AK82" s="104"/>
      <c r="AL82" s="35"/>
      <c r="AM82" s="35"/>
      <c r="AN82" s="36"/>
      <c r="AO82" s="36"/>
      <c r="AP82" s="36"/>
      <c r="AQ82" s="36"/>
      <c r="AR82" s="36"/>
      <c r="AS82" s="36"/>
      <c r="AT82" s="36"/>
      <c r="AU82" s="36"/>
      <c r="AV82" s="36"/>
      <c r="AW82" s="36"/>
      <c r="AX82" s="36"/>
      <c r="AY82" s="36"/>
      <c r="AZ82" s="36"/>
      <c r="BA82" s="36"/>
      <c r="BB82" s="36"/>
      <c r="BC82" s="36"/>
      <c r="BD82" s="36"/>
      <c r="BE82" s="36"/>
    </row>
    <row r="83" spans="2:57" s="30" customFormat="1" ht="30" x14ac:dyDescent="0.2">
      <c r="B83" s="166" t="s">
        <v>464</v>
      </c>
      <c r="C83" s="385"/>
      <c r="D83" s="86" t="s">
        <v>163</v>
      </c>
      <c r="E83" s="33"/>
      <c r="F83" s="33"/>
      <c r="G83" s="157"/>
      <c r="H83" s="81" t="str">
        <f>IF(D83="t","t/t","t/m3")</f>
        <v>t/m3</v>
      </c>
      <c r="J83" s="169" t="s">
        <v>395</v>
      </c>
      <c r="K83" s="92" t="str">
        <f>IFERROR(IF(ISNUMBER(L83),L83,(VLOOKUP(C84,Kalusto!$C$45:$G$84,5,FALSE)*VLOOKUP(C85,Muut!$D$40:$E$43,2,FALSE))),"--")</f>
        <v>--</v>
      </c>
      <c r="L83" s="39"/>
      <c r="M83" s="40" t="s">
        <v>184</v>
      </c>
      <c r="N83" s="40"/>
      <c r="O83" s="259"/>
      <c r="Q83" s="45"/>
      <c r="R83" s="213" t="str">
        <f>IF(AND(NOT(ISNUMBER(AB83)),NOT(ISNUMBER(AG83))),"",IF(ISNUMBER(AB83),AB83,0)+IF(ISNUMBER(AG83),AG83,0))</f>
        <v/>
      </c>
      <c r="S83" s="98" t="s">
        <v>160</v>
      </c>
      <c r="T83" s="211" t="str">
        <f>IFERROR(IF(ISNUMBER(L83),"Kohdetieto",VLOOKUP(C84,Kalusto!$C$45:$L$84,7,FALSE)),"--")</f>
        <v>--</v>
      </c>
      <c r="U83" s="211" t="str">
        <f>IFERROR(IF(ISNUMBER(L83),"Kohdetieto",VLOOKUP(C84,Kalusto!$C$45:$L$84,8,FALSE)),"--")</f>
        <v>--</v>
      </c>
      <c r="V83" s="212" t="str">
        <f>IFERROR(IF(ISNUMBER(L83),"Kohdetieto",VLOOKUP(C84,Kalusto!$C$45:$L$84,9,FALSE)),"--")</f>
        <v>--</v>
      </c>
      <c r="W83" s="212" t="str">
        <f>IFERROR(IF(ISNUMBER(L83),"Kohdetieto",VLOOKUP(C84,Kalusto!$C$45:$L$84,10,FALSE)),"--")</f>
        <v>--</v>
      </c>
      <c r="X83" s="213" t="str">
        <f>IF(ISBLANK(C83),"",IF(D83="t",C83,C83*G83))</f>
        <v/>
      </c>
      <c r="Y83" s="211" t="str">
        <f>IF(ISNUMBER(C86),C86,"")</f>
        <v/>
      </c>
      <c r="Z83" s="213" t="str">
        <f>IF(ISNUMBER(X83/(U83*V83)*Y83),X83/(U83*V83)*Y83,"")</f>
        <v/>
      </c>
      <c r="AA83" s="214" t="str">
        <f>IF(ISNUMBER(L83),L83,K83)</f>
        <v>--</v>
      </c>
      <c r="AB83" s="213" t="str">
        <f>IF(ISNUMBER(Y83*X83*K83),Y83*X83*K83,"")</f>
        <v/>
      </c>
      <c r="AC83" s="213" t="str">
        <f>IF(C88="Kyllä",Y83,"")</f>
        <v/>
      </c>
      <c r="AD83" s="213" t="str">
        <f>IF(C88="Kyllä",IF(ISNUMBER(X83/(U83*V83)),X83/(U83*V83),""),"")</f>
        <v/>
      </c>
      <c r="AE83" s="48" t="str">
        <f>IF(ISNUMBER(AD83*AC83),AD83*AC83,"")</f>
        <v/>
      </c>
      <c r="AF83" s="49" t="str">
        <f>IF(ISNUMBER(L84),L84,K84)</f>
        <v>--</v>
      </c>
      <c r="AG83" s="48" t="str">
        <f>IF(ISNUMBER(AC83*AD83*K84),AC83*AD83*K84,"")</f>
        <v/>
      </c>
      <c r="AH83" s="46">
        <f>IF(T83="Jakelukuorma-auto",0,IF(T83="Maansiirtoauto",4,IF(T83="Puoliperävaunu",6,8)))</f>
        <v>8</v>
      </c>
      <c r="AI83" s="46">
        <f>IF(AND(T83="Jakelukuorma-auto",U83=6),0,IF(AND(T83="Jakelukuorma-auto",U83=15),2,0))</f>
        <v>0</v>
      </c>
      <c r="AJ83" s="46">
        <f>IF(W83="maantieajo",0,1)</f>
        <v>1</v>
      </c>
      <c r="AK83" s="104"/>
      <c r="AL83" s="35"/>
      <c r="AM83" s="35"/>
      <c r="AN83" s="36"/>
      <c r="AO83" s="36"/>
      <c r="AP83" s="36"/>
      <c r="AQ83" s="36"/>
      <c r="AR83" s="36"/>
      <c r="AS83" s="36"/>
      <c r="AT83" s="36"/>
      <c r="AU83" s="36"/>
      <c r="AV83" s="36"/>
      <c r="AW83" s="36"/>
      <c r="AX83" s="36"/>
      <c r="AY83" s="36"/>
      <c r="AZ83" s="36"/>
      <c r="BA83" s="36"/>
      <c r="BB83" s="36"/>
      <c r="BC83" s="36"/>
      <c r="BD83" s="36"/>
      <c r="BE83" s="36"/>
    </row>
    <row r="84" spans="2:57" s="30" customFormat="1" ht="45" x14ac:dyDescent="0.2">
      <c r="B84" s="166" t="s">
        <v>463</v>
      </c>
      <c r="C84" s="471" t="s">
        <v>298</v>
      </c>
      <c r="D84" s="472"/>
      <c r="E84" s="472"/>
      <c r="F84" s="472"/>
      <c r="G84" s="473"/>
      <c r="H84" s="81"/>
      <c r="J84" s="32" t="s">
        <v>396</v>
      </c>
      <c r="K84" s="92" t="str">
        <f>IFERROR(IF(ISNUMBER(L84),L84,IF($C$88="Ei","",(VLOOKUP(C84,Kalusto!$C$45:$V$84,19,FALSE)*(VLOOKUP(C85,Muut!$D$40:$E$43,2,FALSE))))),"--")</f>
        <v>--</v>
      </c>
      <c r="L84" s="39"/>
      <c r="M84" s="40" t="s">
        <v>188</v>
      </c>
      <c r="N84" s="40"/>
      <c r="O84" s="259"/>
      <c r="P84" s="33"/>
      <c r="Q84" s="50"/>
      <c r="R84" s="102"/>
      <c r="S84" s="35"/>
      <c r="T84" s="43"/>
      <c r="U84" s="43"/>
      <c r="V84" s="43"/>
      <c r="W84" s="43"/>
      <c r="X84" s="43"/>
      <c r="Y84" s="43"/>
      <c r="Z84" s="43"/>
      <c r="AA84" s="43"/>
      <c r="AB84" s="43"/>
      <c r="AC84" s="43"/>
      <c r="AD84" s="43"/>
      <c r="AE84" s="35"/>
      <c r="AF84" s="35"/>
      <c r="AG84" s="35"/>
      <c r="AH84" s="35"/>
      <c r="AI84" s="35"/>
      <c r="AJ84" s="35"/>
      <c r="AK84" s="35"/>
      <c r="AL84" s="35"/>
      <c r="AM84" s="35"/>
      <c r="AN84" s="36"/>
      <c r="AO84" s="36"/>
      <c r="AP84" s="36"/>
      <c r="AQ84" s="36"/>
      <c r="AR84" s="36"/>
      <c r="AS84" s="36"/>
      <c r="AT84" s="36"/>
      <c r="AU84" s="36"/>
      <c r="AV84" s="36"/>
      <c r="AW84" s="36"/>
      <c r="AX84" s="36"/>
      <c r="AY84" s="36"/>
      <c r="AZ84" s="36"/>
      <c r="BA84" s="36"/>
      <c r="BB84" s="36"/>
      <c r="BC84" s="36"/>
      <c r="BD84" s="36"/>
      <c r="BE84" s="36"/>
    </row>
    <row r="85" spans="2:57" s="30" customFormat="1" ht="15" x14ac:dyDescent="0.2">
      <c r="B85" s="182" t="s">
        <v>457</v>
      </c>
      <c r="C85" s="156" t="s">
        <v>309</v>
      </c>
      <c r="D85" s="33"/>
      <c r="E85" s="33"/>
      <c r="F85" s="33"/>
      <c r="G85" s="33"/>
      <c r="H85" s="57"/>
      <c r="J85" s="169"/>
      <c r="K85" s="169"/>
      <c r="L85" s="169"/>
      <c r="M85" s="40"/>
      <c r="N85" s="40"/>
      <c r="O85" s="259"/>
      <c r="Q85" s="45"/>
      <c r="R85" s="226"/>
      <c r="S85" s="98"/>
      <c r="T85" s="43"/>
      <c r="U85" s="43"/>
      <c r="V85" s="215"/>
      <c r="W85" s="215"/>
      <c r="X85" s="216"/>
      <c r="Y85" s="43"/>
      <c r="Z85" s="216"/>
      <c r="AA85" s="217"/>
      <c r="AB85" s="216"/>
      <c r="AC85" s="216"/>
      <c r="AD85" s="216"/>
      <c r="AE85" s="59"/>
      <c r="AF85" s="178"/>
      <c r="AG85" s="59"/>
      <c r="AH85" s="35"/>
      <c r="AI85" s="35"/>
      <c r="AJ85" s="35"/>
      <c r="AK85" s="104"/>
      <c r="AL85" s="35"/>
      <c r="AM85" s="35"/>
      <c r="AN85" s="36"/>
      <c r="AO85" s="36"/>
      <c r="AP85" s="36"/>
      <c r="AQ85" s="36"/>
      <c r="AR85" s="36"/>
      <c r="AS85" s="36"/>
      <c r="AT85" s="36"/>
      <c r="AU85" s="36"/>
      <c r="AV85" s="36"/>
      <c r="AW85" s="36"/>
      <c r="AX85" s="36"/>
      <c r="AY85" s="36"/>
      <c r="AZ85" s="36"/>
      <c r="BA85" s="36"/>
      <c r="BB85" s="36"/>
      <c r="BC85" s="36"/>
      <c r="BD85" s="36"/>
      <c r="BE85" s="36"/>
    </row>
    <row r="86" spans="2:57" s="30" customFormat="1" ht="15" x14ac:dyDescent="0.2">
      <c r="B86" s="44" t="s">
        <v>465</v>
      </c>
      <c r="C86" s="386"/>
      <c r="D86" s="81" t="s">
        <v>5</v>
      </c>
      <c r="G86" s="33"/>
      <c r="H86" s="81"/>
      <c r="J86" s="51"/>
      <c r="K86" s="33"/>
      <c r="L86" s="33"/>
      <c r="M86" s="81"/>
      <c r="N86" s="81"/>
      <c r="O86" s="96"/>
      <c r="P86" s="51"/>
      <c r="Q86" s="50"/>
      <c r="R86" s="102"/>
      <c r="S86" s="35"/>
      <c r="T86" s="43"/>
      <c r="U86" s="43"/>
      <c r="V86" s="43"/>
      <c r="W86" s="43"/>
      <c r="X86" s="43"/>
      <c r="Y86" s="43"/>
      <c r="Z86" s="43"/>
      <c r="AA86" s="43"/>
      <c r="AB86" s="43"/>
      <c r="AC86" s="43"/>
      <c r="AD86" s="43"/>
      <c r="AE86" s="35"/>
      <c r="AF86" s="35"/>
      <c r="AG86" s="35"/>
      <c r="AH86" s="35"/>
      <c r="AI86" s="35"/>
      <c r="AJ86" s="35"/>
      <c r="AK86" s="35"/>
      <c r="AL86" s="35"/>
      <c r="AM86" s="35"/>
      <c r="AN86" s="36"/>
      <c r="AO86" s="36"/>
      <c r="AP86" s="36"/>
      <c r="AQ86" s="36"/>
      <c r="AR86" s="36"/>
      <c r="AS86" s="36"/>
      <c r="AT86" s="36"/>
      <c r="AU86" s="36"/>
      <c r="AV86" s="36"/>
      <c r="AW86" s="36"/>
      <c r="AX86" s="36"/>
      <c r="AY86" s="36"/>
      <c r="AZ86" s="36"/>
      <c r="BA86" s="36"/>
      <c r="BB86" s="36"/>
      <c r="BC86" s="36"/>
      <c r="BD86" s="36"/>
      <c r="BE86" s="36"/>
    </row>
    <row r="87" spans="2:57" s="30" customFormat="1" ht="15" x14ac:dyDescent="0.2">
      <c r="C87" s="33"/>
      <c r="D87" s="81"/>
      <c r="G87" s="33"/>
      <c r="H87" s="81"/>
      <c r="J87" s="32"/>
      <c r="K87" s="33"/>
      <c r="L87" s="33"/>
      <c r="M87" s="81"/>
      <c r="N87" s="81"/>
      <c r="O87" s="96"/>
      <c r="Q87" s="34"/>
      <c r="R87" s="102"/>
      <c r="S87" s="35"/>
      <c r="T87" s="43"/>
      <c r="U87" s="43"/>
      <c r="V87" s="43"/>
      <c r="W87" s="43"/>
      <c r="X87" s="43"/>
      <c r="Y87" s="43"/>
      <c r="Z87" s="43"/>
      <c r="AA87" s="43"/>
      <c r="AB87" s="43"/>
      <c r="AC87" s="43"/>
      <c r="AD87" s="43"/>
      <c r="AE87" s="35"/>
      <c r="AF87" s="35"/>
      <c r="AG87" s="35"/>
      <c r="AH87" s="35"/>
      <c r="AI87" s="35"/>
      <c r="AJ87" s="35"/>
      <c r="AK87" s="35"/>
      <c r="AL87" s="35"/>
      <c r="AM87" s="35"/>
      <c r="AN87" s="36"/>
      <c r="AO87" s="36"/>
      <c r="AP87" s="36"/>
      <c r="AQ87" s="36"/>
      <c r="AR87" s="36"/>
      <c r="AS87" s="36"/>
      <c r="AT87" s="36"/>
      <c r="AU87" s="36"/>
      <c r="AV87" s="36"/>
      <c r="AW87" s="36"/>
      <c r="AX87" s="36"/>
      <c r="AY87" s="36"/>
      <c r="AZ87" s="36"/>
      <c r="BA87" s="36"/>
      <c r="BB87" s="36"/>
      <c r="BC87" s="36"/>
      <c r="BD87" s="36"/>
      <c r="BE87" s="36"/>
    </row>
    <row r="88" spans="2:57" s="30" customFormat="1" ht="45" x14ac:dyDescent="0.2">
      <c r="B88" s="76" t="s">
        <v>606</v>
      </c>
      <c r="C88" s="471" t="s">
        <v>6</v>
      </c>
      <c r="D88" s="473"/>
      <c r="E88" s="33"/>
      <c r="F88" s="56"/>
      <c r="G88" s="33"/>
      <c r="H88" s="81"/>
      <c r="J88" s="32"/>
      <c r="K88" s="33"/>
      <c r="L88" s="33"/>
      <c r="M88" s="81"/>
      <c r="N88" s="81"/>
      <c r="O88" s="96"/>
      <c r="Q88" s="34"/>
      <c r="R88" s="102"/>
      <c r="S88" s="35"/>
      <c r="T88" s="43"/>
      <c r="U88" s="43"/>
      <c r="V88" s="43"/>
      <c r="W88" s="43"/>
      <c r="X88" s="43"/>
      <c r="Y88" s="43"/>
      <c r="Z88" s="43"/>
      <c r="AA88" s="43"/>
      <c r="AB88" s="43"/>
      <c r="AC88" s="43"/>
      <c r="AD88" s="43"/>
      <c r="AE88" s="35"/>
      <c r="AF88" s="35"/>
      <c r="AG88" s="35"/>
      <c r="AH88" s="35"/>
      <c r="AI88" s="35"/>
      <c r="AJ88" s="35"/>
      <c r="AK88" s="35"/>
      <c r="AL88" s="35"/>
      <c r="AM88" s="35"/>
      <c r="AN88" s="36"/>
      <c r="AO88" s="36"/>
      <c r="AP88" s="36"/>
      <c r="AQ88" s="36"/>
      <c r="AR88" s="36"/>
      <c r="AS88" s="36"/>
      <c r="AT88" s="36"/>
      <c r="AU88" s="36"/>
      <c r="AV88" s="36"/>
      <c r="AW88" s="36"/>
      <c r="AX88" s="36"/>
      <c r="AY88" s="36"/>
      <c r="AZ88" s="36"/>
      <c r="BA88" s="36"/>
      <c r="BB88" s="36"/>
      <c r="BC88" s="36"/>
      <c r="BD88" s="36"/>
      <c r="BE88" s="36"/>
    </row>
    <row r="89" spans="2:57" s="30" customFormat="1" ht="15" x14ac:dyDescent="0.2">
      <c r="C89" s="33"/>
      <c r="D89" s="81"/>
      <c r="G89" s="33"/>
      <c r="H89" s="81"/>
      <c r="J89" s="32"/>
      <c r="K89" s="33"/>
      <c r="L89" s="33"/>
      <c r="M89" s="81"/>
      <c r="N89" s="81"/>
      <c r="O89" s="81"/>
      <c r="Q89" s="34"/>
      <c r="R89" s="102"/>
      <c r="S89" s="35"/>
      <c r="T89" s="43"/>
      <c r="U89" s="43"/>
      <c r="V89" s="43"/>
      <c r="W89" s="43"/>
      <c r="X89" s="43"/>
      <c r="Y89" s="43"/>
      <c r="Z89" s="43"/>
      <c r="AA89" s="43"/>
      <c r="AB89" s="43"/>
      <c r="AC89" s="43"/>
      <c r="AD89" s="43"/>
      <c r="AE89" s="35"/>
      <c r="AF89" s="35"/>
      <c r="AG89" s="35"/>
      <c r="AH89" s="35"/>
      <c r="AI89" s="35"/>
      <c r="AJ89" s="35"/>
      <c r="AK89" s="35"/>
      <c r="AL89" s="35"/>
      <c r="AM89" s="35"/>
      <c r="AN89" s="36"/>
      <c r="AO89" s="36"/>
      <c r="AP89" s="36"/>
      <c r="AQ89" s="36"/>
      <c r="AR89" s="36"/>
      <c r="AS89" s="36"/>
      <c r="AT89" s="36"/>
      <c r="AU89" s="36"/>
      <c r="AV89" s="36"/>
      <c r="AW89" s="36"/>
      <c r="AX89" s="36"/>
      <c r="AY89" s="36"/>
      <c r="AZ89" s="36"/>
      <c r="BA89" s="36"/>
      <c r="BB89" s="36"/>
      <c r="BC89" s="36"/>
      <c r="BD89" s="36"/>
      <c r="BE89" s="36"/>
    </row>
    <row r="90" spans="2:57" s="289" customFormat="1" ht="18" x14ac:dyDescent="0.2">
      <c r="B90" s="286" t="s">
        <v>566</v>
      </c>
      <c r="C90" s="287"/>
      <c r="D90" s="288"/>
      <c r="G90" s="287"/>
      <c r="H90" s="288"/>
      <c r="K90" s="287"/>
      <c r="L90" s="287"/>
      <c r="M90" s="288"/>
      <c r="N90" s="288"/>
      <c r="O90" s="291"/>
      <c r="P90" s="311"/>
      <c r="Q90" s="295"/>
      <c r="R90" s="289" t="str">
        <f>IF(OR(ISNUMBER(#REF!),ISNUMBER(#REF!),ISNUMBER(#REF!),ISNUMBER(#REF!),ISNUMBER(#REF!)),SUM(#REF!,#REF!,#REF!,#REF!,#REF!),"")</f>
        <v/>
      </c>
      <c r="S90" s="294"/>
      <c r="T90" s="294"/>
      <c r="U90" s="294"/>
      <c r="V90" s="294"/>
      <c r="W90" s="294"/>
      <c r="X90" s="294"/>
      <c r="Y90" s="294"/>
      <c r="Z90" s="294"/>
      <c r="AA90" s="294"/>
      <c r="AB90" s="294"/>
      <c r="AC90" s="294"/>
      <c r="AD90" s="294"/>
      <c r="AE90" s="294"/>
      <c r="AF90" s="294"/>
      <c r="AG90" s="294"/>
      <c r="AH90" s="294"/>
      <c r="AI90" s="294"/>
      <c r="AJ90" s="294"/>
      <c r="AK90" s="294"/>
      <c r="AL90" s="294"/>
      <c r="AM90" s="294"/>
      <c r="AN90" s="295"/>
      <c r="AO90" s="295"/>
      <c r="AP90" s="295"/>
      <c r="AQ90" s="295"/>
      <c r="AR90" s="295"/>
      <c r="AS90" s="295"/>
      <c r="AT90" s="295"/>
      <c r="AU90" s="295"/>
      <c r="AV90" s="295"/>
      <c r="AW90" s="295"/>
      <c r="AX90" s="295"/>
      <c r="AY90" s="295"/>
      <c r="AZ90" s="295"/>
      <c r="BA90" s="295"/>
      <c r="BB90" s="295"/>
      <c r="BC90" s="295"/>
      <c r="BD90" s="295"/>
      <c r="BE90" s="295"/>
    </row>
    <row r="91" spans="2:57" s="30" customFormat="1" ht="15.75" x14ac:dyDescent="0.2">
      <c r="B91" s="8"/>
      <c r="C91" s="33"/>
      <c r="D91" s="81"/>
      <c r="G91" s="37" t="s">
        <v>183</v>
      </c>
      <c r="H91" s="81"/>
      <c r="J91" s="32"/>
      <c r="K91" s="37" t="s">
        <v>297</v>
      </c>
      <c r="L91" s="37" t="s">
        <v>185</v>
      </c>
      <c r="M91" s="81"/>
      <c r="N91" s="81"/>
      <c r="O91" s="249" t="s">
        <v>584</v>
      </c>
      <c r="P91" s="37"/>
      <c r="Q91" s="34"/>
      <c r="R91" s="43" t="s">
        <v>318</v>
      </c>
      <c r="S91" s="35"/>
      <c r="T91" s="43" t="s">
        <v>343</v>
      </c>
      <c r="U91" s="43" t="s">
        <v>153</v>
      </c>
      <c r="V91" s="43" t="s">
        <v>323</v>
      </c>
      <c r="W91" s="220"/>
      <c r="X91" s="43"/>
      <c r="Y91" s="43"/>
      <c r="Z91" s="43"/>
      <c r="AA91" s="43"/>
      <c r="AB91" s="43"/>
      <c r="AC91" s="43"/>
      <c r="AD91" s="43"/>
      <c r="AE91" s="35"/>
      <c r="AF91" s="35"/>
      <c r="AG91" s="35"/>
      <c r="AH91" s="35"/>
      <c r="AI91" s="35"/>
      <c r="AJ91" s="35"/>
      <c r="AK91" s="35"/>
      <c r="AL91" s="35"/>
      <c r="AM91" s="35"/>
      <c r="AN91" s="36"/>
      <c r="AO91" s="36"/>
      <c r="AP91" s="36"/>
      <c r="AQ91" s="36"/>
      <c r="AR91" s="36"/>
      <c r="AS91" s="36"/>
      <c r="AT91" s="36"/>
      <c r="AU91" s="36"/>
      <c r="AV91" s="36"/>
      <c r="AW91" s="36"/>
      <c r="AX91" s="36"/>
      <c r="AY91" s="36"/>
      <c r="AZ91" s="36"/>
      <c r="BA91" s="36"/>
      <c r="BB91" s="36"/>
      <c r="BC91" s="36"/>
      <c r="BD91" s="36"/>
      <c r="BE91" s="36"/>
    </row>
    <row r="92" spans="2:57" s="30" customFormat="1" ht="15" x14ac:dyDescent="0.2">
      <c r="B92" s="159" t="s">
        <v>416</v>
      </c>
      <c r="C92" s="156"/>
      <c r="D92" s="88" t="s">
        <v>109</v>
      </c>
      <c r="G92" s="64">
        <v>1.8</v>
      </c>
      <c r="H92" s="81" t="s">
        <v>165</v>
      </c>
      <c r="J92" s="32" t="s">
        <v>322</v>
      </c>
      <c r="K92" s="92">
        <f>IF(ISNUMBER(L92),L92,VLOOKUP(B92,Materiaalit!$C$5:$M$16,7,FALSE))</f>
        <v>6.0000000000000001E-3</v>
      </c>
      <c r="L92" s="39"/>
      <c r="M92" s="40" t="s">
        <v>247</v>
      </c>
      <c r="N92" s="40"/>
      <c r="O92" s="250"/>
      <c r="P92" s="40"/>
      <c r="Q92" s="50"/>
      <c r="R92" s="213" t="str">
        <f>IF(ISNUMBER(K92*V92*1000),K92*V92*1000,"")</f>
        <v/>
      </c>
      <c r="S92" s="98" t="s">
        <v>160</v>
      </c>
      <c r="T92" s="213" t="str">
        <f>IF(ISBLANK(C92),"",IF(D92="t",C92,C92*G92))</f>
        <v/>
      </c>
      <c r="U92" s="211">
        <f>VLOOKUP(B92,Materiaalit!$C$5:$M$16,11,FALSE)</f>
        <v>1.05</v>
      </c>
      <c r="V92" s="213" t="str">
        <f>IF(ISNUMBER(U92*T92),U92*T92,"")</f>
        <v/>
      </c>
      <c r="W92" s="220"/>
      <c r="X92" s="43"/>
      <c r="Y92" s="43"/>
      <c r="Z92" s="43"/>
      <c r="AA92" s="43"/>
      <c r="AB92" s="43"/>
      <c r="AC92" s="43"/>
      <c r="AD92" s="43"/>
      <c r="AE92" s="35"/>
      <c r="AF92" s="35"/>
      <c r="AG92" s="35"/>
      <c r="AH92" s="35"/>
      <c r="AI92" s="35"/>
      <c r="AJ92" s="35"/>
      <c r="AK92" s="35"/>
      <c r="AL92" s="35"/>
      <c r="AM92" s="35"/>
      <c r="AN92" s="36"/>
      <c r="AO92" s="36"/>
      <c r="AP92" s="36"/>
      <c r="AQ92" s="36"/>
      <c r="AR92" s="36"/>
      <c r="AS92" s="36"/>
      <c r="AT92" s="36"/>
      <c r="AU92" s="36"/>
      <c r="AV92" s="36"/>
      <c r="AW92" s="36"/>
      <c r="AX92" s="36"/>
      <c r="AY92" s="36"/>
      <c r="AZ92" s="36"/>
      <c r="BA92" s="36"/>
      <c r="BB92" s="36"/>
      <c r="BC92" s="36"/>
      <c r="BD92" s="36"/>
      <c r="BE92" s="36"/>
    </row>
    <row r="93" spans="2:57" s="30" customFormat="1" ht="15" x14ac:dyDescent="0.2">
      <c r="B93" s="159" t="s">
        <v>415</v>
      </c>
      <c r="C93" s="156"/>
      <c r="D93" s="86" t="s">
        <v>109</v>
      </c>
      <c r="G93" s="65">
        <v>1.7</v>
      </c>
      <c r="H93" s="81" t="s">
        <v>165</v>
      </c>
      <c r="J93" s="32" t="s">
        <v>322</v>
      </c>
      <c r="K93" s="92">
        <f>IF(ISNUMBER(L93),L93,VLOOKUP(B93,Materiaalit!$C$5:$M$16,7,FALSE))</f>
        <v>6.0000000000000001E-3</v>
      </c>
      <c r="L93" s="39"/>
      <c r="M93" s="40" t="s">
        <v>247</v>
      </c>
      <c r="N93" s="40"/>
      <c r="O93" s="259"/>
      <c r="P93" s="40"/>
      <c r="Q93" s="50"/>
      <c r="R93" s="213" t="str">
        <f>IF(ISNUMBER(K93*V93*1000),K93*V93*1000,"")</f>
        <v/>
      </c>
      <c r="S93" s="98" t="s">
        <v>160</v>
      </c>
      <c r="T93" s="213" t="str">
        <f>IF(ISBLANK(C93),"",IF(D93="t",C93,C93*G93))</f>
        <v/>
      </c>
      <c r="U93" s="211">
        <f>VLOOKUP(B93,Materiaalit!$C$5:$M$16,11,FALSE)</f>
        <v>1.05</v>
      </c>
      <c r="V93" s="213" t="str">
        <f>IF(ISNUMBER(U93*T93),U93*T93,"")</f>
        <v/>
      </c>
      <c r="W93" s="220"/>
      <c r="X93" s="43"/>
      <c r="Y93" s="43"/>
      <c r="Z93" s="43"/>
      <c r="AA93" s="43"/>
      <c r="AB93" s="43"/>
      <c r="AC93" s="43"/>
      <c r="AD93" s="43"/>
      <c r="AE93" s="35"/>
      <c r="AF93" s="35"/>
      <c r="AG93" s="35"/>
      <c r="AH93" s="35"/>
      <c r="AI93" s="35"/>
      <c r="AJ93" s="35"/>
      <c r="AK93" s="35"/>
      <c r="AL93" s="35"/>
      <c r="AM93" s="35"/>
      <c r="AN93" s="36"/>
      <c r="AO93" s="36"/>
      <c r="AP93" s="36"/>
      <c r="AQ93" s="36"/>
      <c r="AR93" s="36"/>
      <c r="AS93" s="36"/>
      <c r="AT93" s="36"/>
      <c r="AU93" s="36"/>
      <c r="AV93" s="36"/>
      <c r="AW93" s="36"/>
      <c r="AX93" s="36"/>
      <c r="AY93" s="36"/>
      <c r="AZ93" s="36"/>
      <c r="BA93" s="36"/>
      <c r="BB93" s="36"/>
      <c r="BC93" s="36"/>
      <c r="BD93" s="36"/>
      <c r="BE93" s="36"/>
    </row>
    <row r="94" spans="2:57" s="30" customFormat="1" ht="15" x14ac:dyDescent="0.2">
      <c r="B94" s="159" t="s">
        <v>417</v>
      </c>
      <c r="C94" s="156"/>
      <c r="D94" s="89" t="s">
        <v>109</v>
      </c>
      <c r="G94" s="65">
        <v>1.7</v>
      </c>
      <c r="H94" s="81" t="s">
        <v>165</v>
      </c>
      <c r="J94" s="32" t="s">
        <v>322</v>
      </c>
      <c r="K94" s="92">
        <f>IF(ISNUMBER(L94),L94,VLOOKUP(B94,Materiaalit!$C$5:$M$16,7,FALSE))</f>
        <v>4.0000000000000001E-3</v>
      </c>
      <c r="L94" s="39"/>
      <c r="M94" s="40" t="s">
        <v>247</v>
      </c>
      <c r="N94" s="40"/>
      <c r="O94" s="259"/>
      <c r="P94" s="40"/>
      <c r="Q94" s="50"/>
      <c r="R94" s="213" t="str">
        <f>IF(ISNUMBER(K94*V94*1000),K94*V94*1000,"")</f>
        <v/>
      </c>
      <c r="S94" s="98" t="s">
        <v>160</v>
      </c>
      <c r="T94" s="213" t="str">
        <f>IF(ISBLANK(C94),"",IF(D94="t",C94,C94*G94))</f>
        <v/>
      </c>
      <c r="U94" s="211">
        <f>VLOOKUP(B94,Materiaalit!$C$5:$M$16,11,FALSE)</f>
        <v>1.05</v>
      </c>
      <c r="V94" s="213" t="str">
        <f>IF(ISNUMBER(U94*T94),U94*T94,"")</f>
        <v/>
      </c>
      <c r="W94" s="220"/>
      <c r="X94" s="43"/>
      <c r="Y94" s="43"/>
      <c r="Z94" s="43"/>
      <c r="AA94" s="43"/>
      <c r="AB94" s="43"/>
      <c r="AC94" s="43"/>
      <c r="AD94" s="43"/>
      <c r="AE94" s="35"/>
      <c r="AF94" s="35"/>
      <c r="AG94" s="35"/>
      <c r="AH94" s="35"/>
      <c r="AI94" s="35"/>
      <c r="AJ94" s="35"/>
      <c r="AK94" s="35"/>
      <c r="AL94" s="35"/>
      <c r="AM94" s="35"/>
      <c r="AN94" s="36"/>
      <c r="AO94" s="36"/>
      <c r="AP94" s="36"/>
      <c r="AQ94" s="36"/>
      <c r="AR94" s="36"/>
      <c r="AS94" s="36"/>
      <c r="AT94" s="36"/>
      <c r="AU94" s="36"/>
      <c r="AV94" s="36"/>
      <c r="AW94" s="36"/>
      <c r="AX94" s="36"/>
      <c r="AY94" s="36"/>
      <c r="AZ94" s="36"/>
      <c r="BA94" s="36"/>
      <c r="BB94" s="36"/>
      <c r="BC94" s="36"/>
      <c r="BD94" s="36"/>
      <c r="BE94" s="36"/>
    </row>
    <row r="95" spans="2:57" s="30" customFormat="1" ht="15" x14ac:dyDescent="0.2">
      <c r="B95" s="159" t="s">
        <v>418</v>
      </c>
      <c r="C95" s="156"/>
      <c r="D95" s="86" t="s">
        <v>109</v>
      </c>
      <c r="G95" s="65">
        <v>1.4</v>
      </c>
      <c r="H95" s="81" t="s">
        <v>165</v>
      </c>
      <c r="J95" s="32" t="s">
        <v>322</v>
      </c>
      <c r="K95" s="92">
        <f>IF(ISNUMBER(L95),L95,VLOOKUP(B95,Materiaalit!$C$5:$M$16,7,FALSE))</f>
        <v>4.0000000000000001E-3</v>
      </c>
      <c r="L95" s="39"/>
      <c r="M95" s="40" t="s">
        <v>247</v>
      </c>
      <c r="N95" s="40"/>
      <c r="O95" s="259"/>
      <c r="P95" s="40"/>
      <c r="Q95" s="50"/>
      <c r="R95" s="213" t="str">
        <f>IF(ISNUMBER(K95*V95*1000),K95*V95*1000,"")</f>
        <v/>
      </c>
      <c r="S95" s="98" t="s">
        <v>160</v>
      </c>
      <c r="T95" s="213" t="str">
        <f>IF(ISBLANK(C95),"",IF(D95="t",C95,C95*G95))</f>
        <v/>
      </c>
      <c r="U95" s="211">
        <f>VLOOKUP(B95,Materiaalit!$C$5:$M$16,11,FALSE)</f>
        <v>1.05</v>
      </c>
      <c r="V95" s="213" t="str">
        <f>IF(ISNUMBER(U95*T95),U95*T95,"")</f>
        <v/>
      </c>
      <c r="W95" s="220"/>
      <c r="X95" s="43"/>
      <c r="Y95" s="43"/>
      <c r="Z95" s="43"/>
      <c r="AA95" s="43"/>
      <c r="AB95" s="43"/>
      <c r="AC95" s="43"/>
      <c r="AD95" s="43"/>
      <c r="AE95" s="35"/>
      <c r="AF95" s="35"/>
      <c r="AG95" s="35"/>
      <c r="AH95" s="35"/>
      <c r="AI95" s="35"/>
      <c r="AJ95" s="35"/>
      <c r="AK95" s="35"/>
      <c r="AL95" s="35"/>
      <c r="AM95" s="35"/>
      <c r="AN95" s="36"/>
      <c r="AO95" s="36"/>
      <c r="AP95" s="36"/>
      <c r="AQ95" s="36"/>
      <c r="AR95" s="36"/>
      <c r="AS95" s="36"/>
      <c r="AT95" s="36"/>
      <c r="AU95" s="36"/>
      <c r="AV95" s="36"/>
      <c r="AW95" s="36"/>
      <c r="AX95" s="36"/>
      <c r="AY95" s="36"/>
      <c r="AZ95" s="36"/>
      <c r="BA95" s="36"/>
      <c r="BB95" s="36"/>
      <c r="BC95" s="36"/>
      <c r="BD95" s="36"/>
      <c r="BE95" s="36"/>
    </row>
    <row r="96" spans="2:57" s="30" customFormat="1" ht="15" x14ac:dyDescent="0.2">
      <c r="B96" s="161" t="s">
        <v>419</v>
      </c>
      <c r="C96" s="156"/>
      <c r="D96" s="86" t="s">
        <v>109</v>
      </c>
      <c r="G96" s="155"/>
      <c r="H96" s="81" t="s">
        <v>165</v>
      </c>
      <c r="J96" s="32" t="s">
        <v>322</v>
      </c>
      <c r="K96" s="92">
        <f>IF(ISNUMBER(L96),L96,Materiaalit!$I$18)</f>
        <v>5.0000000000000001E-3</v>
      </c>
      <c r="L96" s="39"/>
      <c r="M96" s="40" t="s">
        <v>247</v>
      </c>
      <c r="N96" s="40"/>
      <c r="O96" s="259"/>
      <c r="P96" s="40"/>
      <c r="Q96" s="50"/>
      <c r="R96" s="213" t="str">
        <f>IF(ISNUMBER(K96*V96*1000),K96*V96*1000,"")</f>
        <v/>
      </c>
      <c r="S96" s="98" t="s">
        <v>160</v>
      </c>
      <c r="T96" s="213" t="str">
        <f>IF(ISBLANK(C96),"",IF(D96="t",C96,C96*G96))</f>
        <v/>
      </c>
      <c r="U96" s="211">
        <f>Materiaalit!$M$18</f>
        <v>1.05</v>
      </c>
      <c r="V96" s="213" t="str">
        <f>IF(ISNUMBER(U96*T96),U96*T96,"")</f>
        <v/>
      </c>
      <c r="W96" s="220"/>
      <c r="X96" s="43"/>
      <c r="Y96" s="43"/>
      <c r="Z96" s="43"/>
      <c r="AA96" s="43"/>
      <c r="AB96" s="43"/>
      <c r="AC96" s="43"/>
      <c r="AD96" s="43"/>
      <c r="AE96" s="35"/>
      <c r="AF96" s="35"/>
      <c r="AG96" s="35"/>
      <c r="AH96" s="35"/>
      <c r="AI96" s="35"/>
      <c r="AJ96" s="35"/>
      <c r="AK96" s="35"/>
      <c r="AL96" s="35"/>
      <c r="AM96" s="35"/>
      <c r="AN96" s="36"/>
      <c r="AO96" s="36"/>
      <c r="AP96" s="36"/>
      <c r="AQ96" s="36"/>
      <c r="AR96" s="36"/>
      <c r="AS96" s="36"/>
      <c r="AT96" s="36"/>
      <c r="AU96" s="36"/>
      <c r="AV96" s="36"/>
      <c r="AW96" s="36"/>
      <c r="AX96" s="36"/>
      <c r="AY96" s="36"/>
      <c r="AZ96" s="36"/>
      <c r="BA96" s="36"/>
      <c r="BB96" s="36"/>
      <c r="BC96" s="36"/>
      <c r="BD96" s="36"/>
      <c r="BE96" s="36"/>
    </row>
    <row r="97" spans="2:59" s="30" customFormat="1" ht="15" x14ac:dyDescent="0.2">
      <c r="C97" s="33"/>
      <c r="D97" s="81"/>
      <c r="G97" s="33"/>
      <c r="H97" s="81"/>
      <c r="J97" s="32"/>
      <c r="K97" s="33"/>
      <c r="L97" s="33"/>
      <c r="M97" s="81"/>
      <c r="N97" s="81"/>
      <c r="O97" s="96"/>
      <c r="Q97" s="34"/>
      <c r="R97" s="102"/>
      <c r="S97" s="35"/>
      <c r="T97" s="43"/>
      <c r="U97" s="43"/>
      <c r="V97" s="43"/>
      <c r="W97" s="43"/>
      <c r="X97" s="43"/>
      <c r="Y97" s="43"/>
      <c r="Z97" s="43"/>
      <c r="AA97" s="43"/>
      <c r="AB97" s="43"/>
      <c r="AC97" s="43"/>
      <c r="AD97" s="43"/>
      <c r="AE97" s="35"/>
      <c r="AF97" s="35"/>
      <c r="AG97" s="35"/>
      <c r="AH97" s="35"/>
      <c r="AI97" s="35"/>
      <c r="AJ97" s="35"/>
      <c r="AK97" s="35"/>
      <c r="AL97" s="35"/>
      <c r="AM97" s="35"/>
      <c r="AN97" s="36"/>
      <c r="AO97" s="36"/>
      <c r="AP97" s="36"/>
      <c r="AQ97" s="36"/>
      <c r="AR97" s="36"/>
      <c r="AS97" s="36"/>
      <c r="AT97" s="36"/>
      <c r="AU97" s="36"/>
      <c r="AV97" s="36"/>
      <c r="AW97" s="36"/>
      <c r="AX97" s="36"/>
      <c r="AY97" s="36"/>
      <c r="AZ97" s="36"/>
      <c r="BA97" s="36"/>
      <c r="BB97" s="36"/>
      <c r="BC97" s="36"/>
      <c r="BD97" s="36"/>
      <c r="BE97" s="36"/>
    </row>
    <row r="98" spans="2:59" s="30" customFormat="1" ht="15" x14ac:dyDescent="0.2">
      <c r="B98" s="173" t="s">
        <v>540</v>
      </c>
      <c r="C98" s="33"/>
      <c r="D98" s="81"/>
      <c r="E98" s="57"/>
      <c r="G98" s="33"/>
      <c r="H98" s="81"/>
      <c r="J98" s="32"/>
      <c r="K98" s="41"/>
      <c r="L98" s="41"/>
      <c r="M98" s="40"/>
      <c r="N98" s="40"/>
      <c r="O98" s="259"/>
      <c r="P98" s="40"/>
      <c r="Q98" s="162"/>
      <c r="R98" s="222"/>
      <c r="S98" s="97"/>
      <c r="T98" s="222"/>
      <c r="U98" s="223"/>
      <c r="V98" s="222"/>
      <c r="W98" s="79"/>
      <c r="X98" s="223"/>
      <c r="Y98" s="223"/>
      <c r="Z98" s="223"/>
      <c r="AA98" s="223"/>
      <c r="AB98" s="223"/>
      <c r="AC98" s="223"/>
      <c r="AD98" s="223"/>
      <c r="AE98" s="53"/>
      <c r="AF98" s="53"/>
      <c r="AG98" s="53"/>
      <c r="AH98" s="53"/>
      <c r="AI98" s="53"/>
      <c r="AJ98" s="53"/>
      <c r="AK98" s="53"/>
      <c r="AL98" s="53"/>
      <c r="AM98" s="53"/>
      <c r="AN98" s="54"/>
      <c r="AO98" s="54"/>
      <c r="AP98" s="54"/>
      <c r="AQ98" s="54"/>
      <c r="AR98" s="54"/>
      <c r="AS98" s="54"/>
      <c r="AT98" s="54"/>
      <c r="AU98" s="54"/>
      <c r="AV98" s="54"/>
      <c r="AW98" s="54"/>
      <c r="AX98" s="54"/>
      <c r="AY98" s="54"/>
      <c r="AZ98" s="54"/>
      <c r="BA98" s="54"/>
      <c r="BB98" s="54"/>
      <c r="BC98" s="54"/>
      <c r="BD98" s="54"/>
      <c r="BE98" s="54"/>
    </row>
    <row r="99" spans="2:59" s="30" customFormat="1" ht="15" x14ac:dyDescent="0.2">
      <c r="C99" s="33"/>
      <c r="D99" s="81"/>
      <c r="G99" s="33"/>
      <c r="H99" s="81"/>
      <c r="J99" s="32"/>
      <c r="K99" s="33"/>
      <c r="L99" s="33"/>
      <c r="M99" s="81"/>
      <c r="N99" s="81"/>
      <c r="O99" s="81"/>
      <c r="Q99" s="34"/>
      <c r="R99" s="102"/>
      <c r="S99" s="35"/>
      <c r="T99" s="43"/>
      <c r="U99" s="43"/>
      <c r="V99" s="43"/>
      <c r="W99" s="43"/>
      <c r="X99" s="43"/>
      <c r="Y99" s="43"/>
      <c r="Z99" s="43"/>
      <c r="AA99" s="43"/>
      <c r="AB99" s="43"/>
      <c r="AC99" s="43"/>
      <c r="AD99" s="43"/>
      <c r="AE99" s="35"/>
      <c r="AF99" s="35"/>
      <c r="AG99" s="35"/>
      <c r="AH99" s="35"/>
      <c r="AI99" s="35"/>
      <c r="AJ99" s="35"/>
      <c r="AK99" s="35"/>
      <c r="AL99" s="35"/>
      <c r="AM99" s="35"/>
      <c r="AN99" s="36"/>
      <c r="AO99" s="36"/>
      <c r="AP99" s="36"/>
      <c r="AQ99" s="36"/>
      <c r="AR99" s="36"/>
      <c r="AS99" s="36"/>
      <c r="AT99" s="36"/>
      <c r="AU99" s="36"/>
      <c r="AV99" s="36"/>
      <c r="AW99" s="36"/>
      <c r="AX99" s="36"/>
      <c r="AY99" s="36"/>
      <c r="AZ99" s="36"/>
      <c r="BA99" s="36"/>
      <c r="BB99" s="36"/>
      <c r="BC99" s="36"/>
      <c r="BD99" s="36"/>
      <c r="BE99" s="36"/>
    </row>
    <row r="100" spans="2:59" s="289" customFormat="1" ht="18" x14ac:dyDescent="0.2">
      <c r="B100" s="286" t="s">
        <v>324</v>
      </c>
      <c r="C100" s="287"/>
      <c r="D100" s="288"/>
      <c r="G100" s="287"/>
      <c r="H100" s="288"/>
      <c r="K100" s="287"/>
      <c r="L100" s="287"/>
      <c r="M100" s="288"/>
      <c r="N100" s="288"/>
      <c r="O100" s="291"/>
      <c r="P100" s="311"/>
      <c r="Q100" s="295"/>
      <c r="S100" s="294"/>
      <c r="T100" s="294"/>
      <c r="U100" s="294"/>
      <c r="V100" s="294"/>
      <c r="W100" s="294"/>
      <c r="X100" s="294"/>
      <c r="Y100" s="294"/>
      <c r="Z100" s="294"/>
      <c r="AA100" s="294"/>
      <c r="AB100" s="294"/>
      <c r="AC100" s="294"/>
      <c r="AD100" s="294"/>
      <c r="AE100" s="294"/>
      <c r="AF100" s="294"/>
      <c r="AG100" s="294"/>
      <c r="AH100" s="294"/>
      <c r="AI100" s="294"/>
      <c r="AJ100" s="294"/>
      <c r="AK100" s="294"/>
      <c r="AL100" s="294"/>
      <c r="AM100" s="294"/>
      <c r="AN100" s="295"/>
      <c r="AO100" s="295"/>
      <c r="AP100" s="295"/>
      <c r="AQ100" s="295"/>
      <c r="AR100" s="295"/>
      <c r="AS100" s="295"/>
      <c r="AT100" s="295"/>
      <c r="AU100" s="295"/>
      <c r="AV100" s="295"/>
      <c r="AW100" s="295"/>
      <c r="AX100" s="295"/>
      <c r="AY100" s="295"/>
      <c r="AZ100" s="295"/>
      <c r="BA100" s="295"/>
      <c r="BB100" s="295"/>
      <c r="BC100" s="295"/>
      <c r="BD100" s="295"/>
      <c r="BE100" s="295"/>
    </row>
    <row r="101" spans="2:59" s="30" customFormat="1" ht="15.75" x14ac:dyDescent="0.2">
      <c r="B101" s="8"/>
      <c r="C101" s="33"/>
      <c r="D101" s="81"/>
      <c r="G101" s="37"/>
      <c r="H101" s="81"/>
      <c r="J101" s="32"/>
      <c r="K101" s="37"/>
      <c r="L101" s="37"/>
      <c r="M101" s="83"/>
      <c r="N101" s="83"/>
      <c r="O101" s="83"/>
      <c r="P101" s="37"/>
      <c r="Q101" s="34"/>
      <c r="R101" s="102"/>
      <c r="S101" s="43"/>
      <c r="T101" s="43"/>
      <c r="U101" s="43"/>
      <c r="V101" s="43"/>
      <c r="W101" s="43"/>
      <c r="X101" s="43"/>
      <c r="Y101" s="43"/>
      <c r="Z101" s="43"/>
      <c r="AA101" s="43"/>
      <c r="AB101" s="43"/>
      <c r="AC101" s="43"/>
      <c r="AD101" s="43"/>
      <c r="AE101" s="43"/>
      <c r="AF101" s="43"/>
      <c r="AG101" s="43"/>
      <c r="AH101" s="43"/>
      <c r="AI101" s="35"/>
      <c r="AJ101" s="35"/>
      <c r="AK101" s="35"/>
      <c r="AL101" s="35"/>
      <c r="AM101" s="35"/>
      <c r="AN101" s="36"/>
      <c r="AO101" s="36"/>
      <c r="AP101" s="36"/>
      <c r="AQ101" s="36"/>
      <c r="AR101" s="36"/>
      <c r="AS101" s="36"/>
      <c r="AT101" s="36"/>
      <c r="AU101" s="36"/>
      <c r="AV101" s="36"/>
      <c r="AW101" s="36"/>
      <c r="AX101" s="36"/>
      <c r="AY101" s="36"/>
      <c r="AZ101" s="36"/>
      <c r="BA101" s="36"/>
      <c r="BB101" s="36"/>
      <c r="BC101" s="36"/>
      <c r="BD101" s="36"/>
      <c r="BE101" s="36"/>
    </row>
    <row r="102" spans="2:59" s="30" customFormat="1" ht="15.75" x14ac:dyDescent="0.2">
      <c r="B102" s="91" t="str">
        <f>IF(LEFT(B92,5)="Louhe","Louhe",B92)</f>
        <v>Louhe</v>
      </c>
      <c r="C102" s="33"/>
      <c r="D102" s="81"/>
      <c r="G102" s="37" t="s">
        <v>183</v>
      </c>
      <c r="H102" s="81"/>
      <c r="I102" s="81"/>
      <c r="J102" s="32"/>
      <c r="K102" s="37" t="s">
        <v>297</v>
      </c>
      <c r="L102" s="37" t="s">
        <v>185</v>
      </c>
      <c r="M102" s="83"/>
      <c r="N102" s="83"/>
      <c r="O102" s="249" t="s">
        <v>584</v>
      </c>
      <c r="P102" s="144"/>
      <c r="Q102" s="36"/>
      <c r="R102" s="43" t="s">
        <v>318</v>
      </c>
      <c r="S102" s="43"/>
      <c r="T102" s="43" t="s">
        <v>400</v>
      </c>
      <c r="U102" s="43" t="s">
        <v>399</v>
      </c>
      <c r="V102" s="43" t="s">
        <v>397</v>
      </c>
      <c r="W102" s="43" t="s">
        <v>398</v>
      </c>
      <c r="X102" s="43" t="s">
        <v>401</v>
      </c>
      <c r="Y102" s="43" t="s">
        <v>403</v>
      </c>
      <c r="Z102" s="43" t="s">
        <v>402</v>
      </c>
      <c r="AA102" s="43" t="s">
        <v>186</v>
      </c>
      <c r="AB102" s="43" t="s">
        <v>345</v>
      </c>
      <c r="AC102" s="43" t="s">
        <v>404</v>
      </c>
      <c r="AD102" s="43" t="s">
        <v>346</v>
      </c>
      <c r="AE102" s="43" t="s">
        <v>405</v>
      </c>
      <c r="AF102" s="43" t="s">
        <v>406</v>
      </c>
      <c r="AG102" s="43" t="s">
        <v>578</v>
      </c>
      <c r="AH102" s="35" t="s">
        <v>190</v>
      </c>
      <c r="AI102" s="35" t="s">
        <v>249</v>
      </c>
      <c r="AJ102" s="35" t="s">
        <v>191</v>
      </c>
      <c r="AK102" s="104"/>
      <c r="AL102" s="35"/>
      <c r="AM102" s="35"/>
      <c r="AN102" s="36"/>
      <c r="AO102" s="36"/>
      <c r="AP102" s="36"/>
      <c r="AQ102" s="36"/>
      <c r="AR102" s="36"/>
      <c r="AS102" s="36"/>
      <c r="AT102" s="36"/>
      <c r="AU102" s="36"/>
      <c r="AV102" s="36"/>
      <c r="AW102" s="36"/>
      <c r="AX102" s="36"/>
      <c r="AY102" s="36"/>
      <c r="AZ102" s="36"/>
      <c r="BA102" s="36"/>
      <c r="BB102" s="36"/>
      <c r="BC102" s="36"/>
      <c r="BD102" s="36"/>
      <c r="BE102" s="36"/>
      <c r="BF102" s="104"/>
      <c r="BG102" s="104"/>
    </row>
    <row r="103" spans="2:59" s="30" customFormat="1" ht="30" x14ac:dyDescent="0.2">
      <c r="B103" s="44" t="s">
        <v>475</v>
      </c>
      <c r="C103" s="171"/>
      <c r="D103" s="109" t="str">
        <f>D92</f>
        <v>m3itd</v>
      </c>
      <c r="G103" s="108">
        <f>IF(ISNUMBER(G92),G92,"")</f>
        <v>1.8</v>
      </c>
      <c r="H103" s="81" t="str">
        <f>IF(D103="t","t/t","t/m3")</f>
        <v>t/m3</v>
      </c>
      <c r="I103" s="81"/>
      <c r="J103" s="169" t="s">
        <v>395</v>
      </c>
      <c r="K103" s="92" t="str">
        <f>IFERROR(IF(ISNUMBER(L103),L103,(VLOOKUP(C104,Kalusto!$C$45:$G$84,5,FALSE)*VLOOKUP(C105,Muut!$D$40:$E$43,2,FALSE))),"--")</f>
        <v>--</v>
      </c>
      <c r="L103" s="39"/>
      <c r="M103" s="40" t="s">
        <v>184</v>
      </c>
      <c r="N103" s="40"/>
      <c r="O103" s="250"/>
      <c r="P103" s="145"/>
      <c r="Q103" s="100"/>
      <c r="R103" s="213" t="str">
        <f>IF(AND(NOT(ISNUMBER(AB103)),NOT(ISNUMBER(AG103))),"",IF(ISNUMBER(AB103),AB103,0)+IF(ISNUMBER(AG103),AG103,0))</f>
        <v/>
      </c>
      <c r="S103" s="98" t="s">
        <v>160</v>
      </c>
      <c r="T103" s="211" t="str">
        <f>IFERROR(IF(ISNUMBER(L103),"Kohdetieto",VLOOKUP(C104,Kalusto!$C$45:$L$84,7,FALSE)),"--")</f>
        <v>--</v>
      </c>
      <c r="U103" s="211" t="str">
        <f>IFERROR(IF(ISNUMBER(L103),"Kohdetieto",VLOOKUP(C104,Kalusto!$C$45:$L$84,8,FALSE)),"--")</f>
        <v>--</v>
      </c>
      <c r="V103" s="212" t="str">
        <f>IFERROR(IF(ISNUMBER(L103),"Kohdetieto",VLOOKUP(C104,Kalusto!$C$45:$L$84,9,FALSE)),"--")</f>
        <v>--</v>
      </c>
      <c r="W103" s="212" t="str">
        <f>IFERROR(IF(ISNUMBER(L103),"Kohdetieto",VLOOKUP(C104,Kalusto!$C$45:$L$84,10,FALSE)),"--")</f>
        <v>--</v>
      </c>
      <c r="X103" s="213" t="str">
        <f>IF(ISBLANK(C103),"",IF(D103="t",C103,IF(ISNUMBER(C103*G103),C103*G103,"")))</f>
        <v/>
      </c>
      <c r="Y103" s="211" t="str">
        <f>IF(ISNUMBER(C106),C106,"")</f>
        <v/>
      </c>
      <c r="Z103" s="213" t="str">
        <f>IF(ISNUMBER(X103/(U103*V103)*Y103),X103/(U103*V103)*Y103,"")</f>
        <v/>
      </c>
      <c r="AA103" s="214" t="str">
        <f>IF(ISNUMBER(L103),L103,K103)</f>
        <v>--</v>
      </c>
      <c r="AB103" s="213" t="str">
        <f>IF(ISNUMBER(Y103*X103*K103),Y103*X103*K103,"")</f>
        <v/>
      </c>
      <c r="AC103" s="213" t="str">
        <f>IF(C128="Kyllä",Y103,"")</f>
        <v/>
      </c>
      <c r="AD103" s="213" t="str">
        <f>IF(C128="Kyllä",IF(ISNUMBER(X103/(U103*V103)),X103/(U103*V103),""),"")</f>
        <v/>
      </c>
      <c r="AE103" s="48" t="str">
        <f>IF(ISNUMBER(AD103*AC103),AD103*AC103,"")</f>
        <v/>
      </c>
      <c r="AF103" s="49" t="str">
        <f>IF(ISNUMBER(L104),L104,K104)</f>
        <v>--</v>
      </c>
      <c r="AG103" s="48" t="str">
        <f>IF(ISNUMBER(AC103*AD103*K104),AC103*AD103*K104,"")</f>
        <v/>
      </c>
      <c r="AH103" s="46">
        <f>IF(T103="Jakelukuorma-auto",0,IF(T103="Maansiirtoauto",4,IF(T103="Puoliperävaunu",6,8)))</f>
        <v>8</v>
      </c>
      <c r="AI103" s="46">
        <f>IF(AND(T103="Jakelukuorma-auto",U103=6),0,IF(AND(T103="Jakelukuorma-auto",U103=15),2,0))</f>
        <v>0</v>
      </c>
      <c r="AJ103" s="46">
        <f>IF(W103="maantieajo",0,1)</f>
        <v>1</v>
      </c>
      <c r="AK103" s="104"/>
      <c r="AL103" s="35"/>
      <c r="AM103" s="35"/>
      <c r="AN103" s="36"/>
      <c r="AO103" s="36"/>
      <c r="AP103" s="36"/>
      <c r="AQ103" s="36"/>
      <c r="AR103" s="36"/>
      <c r="AS103" s="36"/>
      <c r="AT103" s="36"/>
      <c r="AU103" s="36"/>
      <c r="AV103" s="36"/>
      <c r="AW103" s="36"/>
      <c r="AX103" s="36"/>
      <c r="AY103" s="36"/>
      <c r="AZ103" s="36"/>
      <c r="BA103" s="36"/>
      <c r="BB103" s="36"/>
      <c r="BC103" s="36"/>
      <c r="BD103" s="36"/>
      <c r="BE103" s="36"/>
      <c r="BF103" s="104"/>
      <c r="BG103" s="104"/>
    </row>
    <row r="104" spans="2:59" s="30" customFormat="1" ht="45" x14ac:dyDescent="0.2">
      <c r="B104" s="166" t="s">
        <v>463</v>
      </c>
      <c r="C104" s="471" t="s">
        <v>298</v>
      </c>
      <c r="D104" s="472"/>
      <c r="E104" s="472"/>
      <c r="F104" s="472"/>
      <c r="G104" s="473"/>
      <c r="H104" s="81"/>
      <c r="I104" s="81"/>
      <c r="J104" s="32" t="s">
        <v>396</v>
      </c>
      <c r="K104" s="92" t="str">
        <f>IFERROR(IF(ISNUMBER(L104),L104,IF($C$128="Ei","",VLOOKUP(C104,Kalusto!$C$45:$U$84,19,FALSE)*VLOOKUP(C105,Muut!$D$40:$E$43,2,FALSE))),"--")</f>
        <v>--</v>
      </c>
      <c r="L104" s="39"/>
      <c r="M104" s="40" t="s">
        <v>188</v>
      </c>
      <c r="N104" s="40"/>
      <c r="O104" s="259"/>
      <c r="P104" s="143"/>
      <c r="Q104" s="101"/>
      <c r="R104" s="43"/>
      <c r="S104" s="35"/>
      <c r="T104" s="43"/>
      <c r="U104" s="43"/>
      <c r="V104" s="43"/>
      <c r="W104" s="43"/>
      <c r="X104" s="43"/>
      <c r="Y104" s="43"/>
      <c r="Z104" s="43"/>
      <c r="AA104" s="43"/>
      <c r="AB104" s="43"/>
      <c r="AC104" s="43"/>
      <c r="AD104" s="43"/>
      <c r="AE104" s="35"/>
      <c r="AF104" s="35"/>
      <c r="AG104" s="35"/>
      <c r="AH104" s="35"/>
      <c r="AI104" s="35"/>
      <c r="AJ104" s="35"/>
      <c r="AK104" s="104"/>
      <c r="AL104" s="35"/>
      <c r="AM104" s="35"/>
      <c r="AN104" s="36"/>
      <c r="AO104" s="36"/>
      <c r="AP104" s="36"/>
      <c r="AQ104" s="36"/>
      <c r="AR104" s="36"/>
      <c r="AS104" s="36"/>
      <c r="AT104" s="36"/>
      <c r="AU104" s="36"/>
      <c r="AV104" s="36"/>
      <c r="AW104" s="36"/>
      <c r="AX104" s="36"/>
      <c r="AY104" s="36"/>
      <c r="AZ104" s="36"/>
      <c r="BA104" s="36"/>
      <c r="BB104" s="36"/>
      <c r="BC104" s="36"/>
      <c r="BD104" s="36"/>
      <c r="BE104" s="36"/>
      <c r="BF104" s="104"/>
      <c r="BG104" s="104"/>
    </row>
    <row r="105" spans="2:59" s="30" customFormat="1" ht="15" x14ac:dyDescent="0.2">
      <c r="B105" s="182" t="s">
        <v>457</v>
      </c>
      <c r="C105" s="156" t="s">
        <v>309</v>
      </c>
      <c r="D105" s="33"/>
      <c r="E105" s="33"/>
      <c r="F105" s="33"/>
      <c r="G105" s="33"/>
      <c r="H105" s="57"/>
      <c r="J105" s="169"/>
      <c r="K105" s="169"/>
      <c r="L105" s="169"/>
      <c r="M105" s="40"/>
      <c r="N105" s="40"/>
      <c r="O105" s="259"/>
      <c r="Q105" s="45"/>
      <c r="R105" s="226"/>
      <c r="S105" s="98"/>
      <c r="T105" s="43"/>
      <c r="U105" s="43"/>
      <c r="V105" s="215"/>
      <c r="W105" s="215"/>
      <c r="X105" s="216"/>
      <c r="Y105" s="43"/>
      <c r="Z105" s="216"/>
      <c r="AA105" s="217"/>
      <c r="AB105" s="216"/>
      <c r="AC105" s="216"/>
      <c r="AD105" s="216"/>
      <c r="AE105" s="59"/>
      <c r="AF105" s="178"/>
      <c r="AG105" s="59"/>
      <c r="AH105" s="35"/>
      <c r="AI105" s="35"/>
      <c r="AJ105" s="35"/>
      <c r="AK105" s="104"/>
      <c r="AL105" s="35"/>
      <c r="AM105" s="35"/>
      <c r="AN105" s="36"/>
      <c r="AO105" s="36"/>
      <c r="AP105" s="36"/>
      <c r="AQ105" s="36"/>
      <c r="AR105" s="36"/>
      <c r="AS105" s="36"/>
      <c r="AT105" s="36"/>
      <c r="AU105" s="36"/>
      <c r="AV105" s="36"/>
      <c r="AW105" s="36"/>
      <c r="AX105" s="36"/>
      <c r="AY105" s="36"/>
      <c r="AZ105" s="36"/>
      <c r="BA105" s="36"/>
      <c r="BB105" s="36"/>
      <c r="BC105" s="36"/>
      <c r="BD105" s="36"/>
      <c r="BE105" s="36"/>
    </row>
    <row r="106" spans="2:59" s="30" customFormat="1" ht="15" x14ac:dyDescent="0.2">
      <c r="B106" s="44" t="s">
        <v>474</v>
      </c>
      <c r="C106" s="386"/>
      <c r="D106" s="81" t="s">
        <v>5</v>
      </c>
      <c r="G106" s="33"/>
      <c r="H106" s="81"/>
      <c r="I106" s="81"/>
      <c r="J106" s="32"/>
      <c r="K106" s="33"/>
      <c r="L106" s="33"/>
      <c r="M106" s="81"/>
      <c r="N106" s="81"/>
      <c r="O106" s="96"/>
      <c r="P106" s="146"/>
      <c r="Q106" s="101"/>
      <c r="R106" s="43"/>
      <c r="S106" s="35"/>
      <c r="T106" s="43"/>
      <c r="U106" s="43"/>
      <c r="V106" s="43"/>
      <c r="W106" s="43"/>
      <c r="X106" s="43"/>
      <c r="Y106" s="43"/>
      <c r="Z106" s="43"/>
      <c r="AA106" s="43"/>
      <c r="AB106" s="43"/>
      <c r="AC106" s="43"/>
      <c r="AD106" s="43"/>
      <c r="AE106" s="35"/>
      <c r="AF106" s="35"/>
      <c r="AG106" s="35"/>
      <c r="AH106" s="35"/>
      <c r="AI106" s="35"/>
      <c r="AJ106" s="35"/>
      <c r="AK106" s="104"/>
      <c r="AL106" s="35"/>
      <c r="AM106" s="35"/>
      <c r="AN106" s="36"/>
      <c r="AO106" s="36"/>
      <c r="AP106" s="36"/>
      <c r="AQ106" s="36"/>
      <c r="AR106" s="36"/>
      <c r="AS106" s="36"/>
      <c r="AT106" s="36"/>
      <c r="AU106" s="36"/>
      <c r="AV106" s="36"/>
      <c r="AW106" s="36"/>
      <c r="AX106" s="36"/>
      <c r="AY106" s="36"/>
      <c r="AZ106" s="36"/>
      <c r="BA106" s="36"/>
      <c r="BB106" s="36"/>
      <c r="BC106" s="36"/>
      <c r="BD106" s="36"/>
      <c r="BE106" s="36"/>
      <c r="BF106" s="104"/>
      <c r="BG106" s="104"/>
    </row>
    <row r="107" spans="2:59" s="30" customFormat="1" ht="15.75" x14ac:dyDescent="0.2">
      <c r="B107" s="91" t="str">
        <f>IF(LEFT(B93,6)="Murske","Murske",B93)</f>
        <v>Murske</v>
      </c>
      <c r="C107" s="33"/>
      <c r="D107" s="81"/>
      <c r="G107" s="33"/>
      <c r="H107" s="81"/>
      <c r="I107" s="81"/>
      <c r="J107" s="32"/>
      <c r="K107" s="37" t="s">
        <v>297</v>
      </c>
      <c r="L107" s="37" t="s">
        <v>185</v>
      </c>
      <c r="M107" s="83"/>
      <c r="N107" s="83"/>
      <c r="O107" s="260"/>
      <c r="P107" s="144"/>
      <c r="Q107" s="36"/>
      <c r="R107" s="43" t="s">
        <v>318</v>
      </c>
      <c r="S107" s="35"/>
      <c r="T107" s="43" t="s">
        <v>400</v>
      </c>
      <c r="U107" s="43" t="s">
        <v>399</v>
      </c>
      <c r="V107" s="43" t="s">
        <v>397</v>
      </c>
      <c r="W107" s="43" t="s">
        <v>398</v>
      </c>
      <c r="X107" s="43" t="s">
        <v>401</v>
      </c>
      <c r="Y107" s="43" t="s">
        <v>403</v>
      </c>
      <c r="Z107" s="43" t="s">
        <v>402</v>
      </c>
      <c r="AA107" s="43" t="s">
        <v>186</v>
      </c>
      <c r="AB107" s="43" t="s">
        <v>345</v>
      </c>
      <c r="AC107" s="43" t="s">
        <v>404</v>
      </c>
      <c r="AD107" s="43" t="s">
        <v>346</v>
      </c>
      <c r="AE107" s="43" t="s">
        <v>405</v>
      </c>
      <c r="AF107" s="43" t="s">
        <v>406</v>
      </c>
      <c r="AG107" s="43" t="s">
        <v>578</v>
      </c>
      <c r="AH107" s="35" t="s">
        <v>190</v>
      </c>
      <c r="AI107" s="35" t="s">
        <v>249</v>
      </c>
      <c r="AJ107" s="35" t="s">
        <v>191</v>
      </c>
      <c r="AK107" s="104"/>
      <c r="AL107" s="35"/>
      <c r="AM107" s="35"/>
      <c r="AN107" s="36"/>
      <c r="AO107" s="36"/>
      <c r="AP107" s="36"/>
      <c r="AQ107" s="36"/>
      <c r="AR107" s="36"/>
      <c r="AS107" s="36"/>
      <c r="AT107" s="36"/>
      <c r="AU107" s="36"/>
      <c r="AV107" s="36"/>
      <c r="AW107" s="36"/>
      <c r="AX107" s="36"/>
      <c r="AY107" s="36"/>
      <c r="AZ107" s="36"/>
      <c r="BA107" s="36"/>
      <c r="BB107" s="36"/>
      <c r="BC107" s="36"/>
      <c r="BD107" s="36"/>
      <c r="BE107" s="36"/>
      <c r="BF107" s="104"/>
      <c r="BG107" s="104"/>
    </row>
    <row r="108" spans="2:59" s="30" customFormat="1" ht="30" x14ac:dyDescent="0.2">
      <c r="B108" s="44" t="s">
        <v>475</v>
      </c>
      <c r="C108" s="171"/>
      <c r="D108" s="109" t="str">
        <f>D93</f>
        <v>m3itd</v>
      </c>
      <c r="G108" s="108">
        <f>IF(ISNUMBER(G93),G93,"")</f>
        <v>1.7</v>
      </c>
      <c r="H108" s="81" t="str">
        <f>IF(D108="t","t/t","t/m3")</f>
        <v>t/m3</v>
      </c>
      <c r="I108" s="81"/>
      <c r="J108" s="169" t="s">
        <v>395</v>
      </c>
      <c r="K108" s="92" t="str">
        <f>IFERROR(IF(ISNUMBER(L108),L108,(VLOOKUP(C109,Kalusto!$C$45:$G$84,5,FALSE)*VLOOKUP(C110,Muut!$D$40:$E$43,2,FALSE))),"--")</f>
        <v>--</v>
      </c>
      <c r="L108" s="39"/>
      <c r="M108" s="40" t="s">
        <v>184</v>
      </c>
      <c r="N108" s="40"/>
      <c r="O108" s="259"/>
      <c r="P108" s="145"/>
      <c r="Q108" s="100"/>
      <c r="R108" s="213" t="str">
        <f>IF(AND(NOT(ISNUMBER(AB108)),NOT(ISNUMBER(AG108))),"",IF(ISNUMBER(AB108),AB108,0)+IF(ISNUMBER(AG108),AG108,0))</f>
        <v/>
      </c>
      <c r="S108" s="98" t="s">
        <v>160</v>
      </c>
      <c r="T108" s="211" t="str">
        <f>IFERROR(IF(ISNUMBER(L108),"Kohdetieto",VLOOKUP(C109,Kalusto!$C$45:$L$84,7,FALSE)),"--")</f>
        <v>--</v>
      </c>
      <c r="U108" s="211" t="str">
        <f>IFERROR(IF(ISNUMBER(L108),"Kohdetieto",VLOOKUP(C109,Kalusto!$C$45:$L$84,8,FALSE)),"--")</f>
        <v>--</v>
      </c>
      <c r="V108" s="212" t="str">
        <f>IFERROR(IF(ISNUMBER(L108),"Kohdetieto",VLOOKUP(C109,Kalusto!$C$45:$L$84,9,FALSE)),"--")</f>
        <v>--</v>
      </c>
      <c r="W108" s="212" t="str">
        <f>IFERROR(IF(ISNUMBER(L108),"Kohdetieto",VLOOKUP(C109,Kalusto!$C$45:$L$84,10,FALSE)),"--")</f>
        <v>--</v>
      </c>
      <c r="X108" s="213" t="str">
        <f>IF(ISBLANK(C108),"",IF(D108="t",C108,IF(ISNUMBER(C108*G108),C108*G108,"")))</f>
        <v/>
      </c>
      <c r="Y108" s="211" t="str">
        <f>IF(ISNUMBER(C111),C111,"")</f>
        <v/>
      </c>
      <c r="Z108" s="213" t="str">
        <f>IF(ISNUMBER(X108/(U108*V108)*Y108),X108/(U108*V108)*Y108,"")</f>
        <v/>
      </c>
      <c r="AA108" s="214" t="str">
        <f>IF(ISNUMBER(L108),L108,K108)</f>
        <v>--</v>
      </c>
      <c r="AB108" s="213" t="str">
        <f>IF(ISNUMBER(Y108*X108*K108),Y108*X108*K108,"")</f>
        <v/>
      </c>
      <c r="AC108" s="213" t="str">
        <f>IF(C128="Kyllä",Y108,"")</f>
        <v/>
      </c>
      <c r="AD108" s="213" t="str">
        <f>IF(C128="Kyllä",IF(ISNUMBER(X108/(U108*V108)),X108/(U108*V108),""),"")</f>
        <v/>
      </c>
      <c r="AE108" s="48" t="str">
        <f>IF(ISNUMBER(AD108*AC108),AD108*AC108,"")</f>
        <v/>
      </c>
      <c r="AF108" s="49" t="str">
        <f>IF(ISNUMBER(L109),L109,K109)</f>
        <v>--</v>
      </c>
      <c r="AG108" s="48" t="str">
        <f>IF(ISNUMBER(AC108*AD108*K109),AC108*AD108*K109,"")</f>
        <v/>
      </c>
      <c r="AH108" s="46">
        <f>IF(T108="Jakelukuorma-auto",0,IF(T108="Maansiirtoauto",4,IF(T108="Puoliperävaunu",6,8)))</f>
        <v>8</v>
      </c>
      <c r="AI108" s="46">
        <f>IF(AND(T108="Jakelukuorma-auto",U108=6),0,IF(AND(T108="Jakelukuorma-auto",U108=15),2,0))</f>
        <v>0</v>
      </c>
      <c r="AJ108" s="46">
        <f>IF(W108="maantieajo",0,1)</f>
        <v>1</v>
      </c>
      <c r="AK108" s="104"/>
      <c r="AL108" s="35"/>
      <c r="AM108" s="35"/>
      <c r="AN108" s="36"/>
      <c r="AO108" s="36"/>
      <c r="AP108" s="36"/>
      <c r="AQ108" s="36"/>
      <c r="AR108" s="36"/>
      <c r="AS108" s="36"/>
      <c r="AT108" s="36"/>
      <c r="AU108" s="36"/>
      <c r="AV108" s="36"/>
      <c r="AW108" s="36"/>
      <c r="AX108" s="36"/>
      <c r="AY108" s="36"/>
      <c r="AZ108" s="36"/>
      <c r="BA108" s="36"/>
      <c r="BB108" s="36"/>
      <c r="BC108" s="36"/>
      <c r="BD108" s="36"/>
      <c r="BE108" s="36"/>
      <c r="BF108" s="104"/>
      <c r="BG108" s="104"/>
    </row>
    <row r="109" spans="2:59" s="30" customFormat="1" ht="45" x14ac:dyDescent="0.2">
      <c r="B109" s="166" t="s">
        <v>463</v>
      </c>
      <c r="C109" s="471" t="s">
        <v>298</v>
      </c>
      <c r="D109" s="472"/>
      <c r="E109" s="472"/>
      <c r="F109" s="472"/>
      <c r="G109" s="473"/>
      <c r="H109" s="81"/>
      <c r="I109" s="81"/>
      <c r="J109" s="32" t="s">
        <v>396</v>
      </c>
      <c r="K109" s="92" t="str">
        <f>IFERROR(IF(ISNUMBER(L109),L109,IF($C$128="Ei","",VLOOKUP(C109,Kalusto!$C$45:$U$84,19,FALSE)*VLOOKUP(C110,Muut!$D$40:$E$43,2,FALSE))),"--")</f>
        <v>--</v>
      </c>
      <c r="L109" s="39"/>
      <c r="M109" s="40" t="s">
        <v>188</v>
      </c>
      <c r="N109" s="40"/>
      <c r="O109" s="259"/>
      <c r="P109" s="143"/>
      <c r="Q109" s="101"/>
      <c r="R109" s="43"/>
      <c r="S109" s="35"/>
      <c r="T109" s="43"/>
      <c r="U109" s="43"/>
      <c r="V109" s="43"/>
      <c r="W109" s="43"/>
      <c r="X109" s="43"/>
      <c r="Y109" s="43"/>
      <c r="Z109" s="43"/>
      <c r="AA109" s="43"/>
      <c r="AB109" s="43"/>
      <c r="AC109" s="43"/>
      <c r="AD109" s="43"/>
      <c r="AE109" s="35"/>
      <c r="AF109" s="35"/>
      <c r="AG109" s="35"/>
      <c r="AH109" s="35"/>
      <c r="AI109" s="35"/>
      <c r="AJ109" s="35"/>
      <c r="AK109" s="104"/>
      <c r="AL109" s="35"/>
      <c r="AM109" s="35"/>
      <c r="AN109" s="36"/>
      <c r="AO109" s="36"/>
      <c r="AP109" s="36"/>
      <c r="AQ109" s="36"/>
      <c r="AR109" s="36"/>
      <c r="AS109" s="36"/>
      <c r="AT109" s="36"/>
      <c r="AU109" s="36"/>
      <c r="AV109" s="36"/>
      <c r="AW109" s="36"/>
      <c r="AX109" s="36"/>
      <c r="AY109" s="36"/>
      <c r="AZ109" s="36"/>
      <c r="BA109" s="36"/>
      <c r="BB109" s="36"/>
      <c r="BC109" s="36"/>
      <c r="BD109" s="36"/>
      <c r="BE109" s="36"/>
      <c r="BF109" s="104"/>
      <c r="BG109" s="104"/>
    </row>
    <row r="110" spans="2:59" s="30" customFormat="1" ht="15" x14ac:dyDescent="0.2">
      <c r="B110" s="182" t="s">
        <v>457</v>
      </c>
      <c r="C110" s="156" t="s">
        <v>309</v>
      </c>
      <c r="D110" s="33"/>
      <c r="E110" s="33"/>
      <c r="F110" s="33"/>
      <c r="G110" s="33"/>
      <c r="H110" s="57"/>
      <c r="J110" s="169"/>
      <c r="K110" s="169"/>
      <c r="L110" s="169"/>
      <c r="M110" s="40"/>
      <c r="N110" s="40"/>
      <c r="O110" s="259"/>
      <c r="Q110" s="45"/>
      <c r="R110" s="226"/>
      <c r="S110" s="98"/>
      <c r="T110" s="43"/>
      <c r="U110" s="43"/>
      <c r="V110" s="215"/>
      <c r="W110" s="215"/>
      <c r="X110" s="216"/>
      <c r="Y110" s="43"/>
      <c r="Z110" s="216"/>
      <c r="AA110" s="217"/>
      <c r="AB110" s="216"/>
      <c r="AC110" s="216"/>
      <c r="AD110" s="216"/>
      <c r="AE110" s="59"/>
      <c r="AF110" s="178"/>
      <c r="AG110" s="59"/>
      <c r="AH110" s="35"/>
      <c r="AI110" s="35"/>
      <c r="AJ110" s="35"/>
      <c r="AK110" s="104"/>
      <c r="AL110" s="35"/>
      <c r="AM110" s="35"/>
      <c r="AN110" s="36"/>
      <c r="AO110" s="36"/>
      <c r="AP110" s="36"/>
      <c r="AQ110" s="36"/>
      <c r="AR110" s="36"/>
      <c r="AS110" s="36"/>
      <c r="AT110" s="36"/>
      <c r="AU110" s="36"/>
      <c r="AV110" s="36"/>
      <c r="AW110" s="36"/>
      <c r="AX110" s="36"/>
      <c r="AY110" s="36"/>
      <c r="AZ110" s="36"/>
      <c r="BA110" s="36"/>
      <c r="BB110" s="36"/>
      <c r="BC110" s="36"/>
      <c r="BD110" s="36"/>
      <c r="BE110" s="36"/>
    </row>
    <row r="111" spans="2:59" s="30" customFormat="1" ht="15" x14ac:dyDescent="0.2">
      <c r="B111" s="44" t="s">
        <v>474</v>
      </c>
      <c r="C111" s="386"/>
      <c r="D111" s="81" t="s">
        <v>5</v>
      </c>
      <c r="G111" s="33"/>
      <c r="H111" s="81"/>
      <c r="I111" s="81"/>
      <c r="J111" s="32"/>
      <c r="K111" s="33"/>
      <c r="L111" s="33"/>
      <c r="M111" s="81"/>
      <c r="N111" s="81"/>
      <c r="O111" s="96"/>
      <c r="P111" s="146"/>
      <c r="Q111" s="101"/>
      <c r="R111" s="43"/>
      <c r="S111" s="35"/>
      <c r="T111" s="43"/>
      <c r="U111" s="43"/>
      <c r="V111" s="43"/>
      <c r="W111" s="43"/>
      <c r="X111" s="43"/>
      <c r="Y111" s="43"/>
      <c r="Z111" s="43"/>
      <c r="AA111" s="43"/>
      <c r="AB111" s="43"/>
      <c r="AC111" s="43"/>
      <c r="AD111" s="43"/>
      <c r="AE111" s="35"/>
      <c r="AF111" s="35"/>
      <c r="AG111" s="35"/>
      <c r="AH111" s="35"/>
      <c r="AI111" s="35"/>
      <c r="AJ111" s="35"/>
      <c r="AK111" s="104"/>
      <c r="AL111" s="35"/>
      <c r="AM111" s="35"/>
      <c r="AN111" s="36"/>
      <c r="AO111" s="36"/>
      <c r="AP111" s="36"/>
      <c r="AQ111" s="36"/>
      <c r="AR111" s="36"/>
      <c r="AS111" s="36"/>
      <c r="AT111" s="36"/>
      <c r="AU111" s="36"/>
      <c r="AV111" s="36"/>
      <c r="AW111" s="36"/>
      <c r="AX111" s="36"/>
      <c r="AY111" s="36"/>
      <c r="AZ111" s="36"/>
      <c r="BA111" s="36"/>
      <c r="BB111" s="36"/>
      <c r="BC111" s="36"/>
      <c r="BD111" s="36"/>
      <c r="BE111" s="36"/>
      <c r="BF111" s="104"/>
      <c r="BG111" s="104"/>
    </row>
    <row r="112" spans="2:59" s="30" customFormat="1" ht="15.75" x14ac:dyDescent="0.2">
      <c r="B112" s="91" t="str">
        <f>IF(LEFT(B94,4)="Sora","Sora",B94)</f>
        <v>Sora</v>
      </c>
      <c r="C112" s="33"/>
      <c r="D112" s="81"/>
      <c r="G112" s="33"/>
      <c r="H112" s="81"/>
      <c r="I112" s="81"/>
      <c r="J112" s="32"/>
      <c r="K112" s="37" t="s">
        <v>297</v>
      </c>
      <c r="L112" s="37" t="s">
        <v>185</v>
      </c>
      <c r="M112" s="83"/>
      <c r="N112" s="83"/>
      <c r="O112" s="260"/>
      <c r="P112" s="144"/>
      <c r="Q112" s="36"/>
      <c r="R112" s="43" t="s">
        <v>318</v>
      </c>
      <c r="S112" s="35"/>
      <c r="T112" s="43" t="s">
        <v>400</v>
      </c>
      <c r="U112" s="43" t="s">
        <v>399</v>
      </c>
      <c r="V112" s="43" t="s">
        <v>397</v>
      </c>
      <c r="W112" s="43" t="s">
        <v>398</v>
      </c>
      <c r="X112" s="43" t="s">
        <v>401</v>
      </c>
      <c r="Y112" s="43" t="s">
        <v>403</v>
      </c>
      <c r="Z112" s="43" t="s">
        <v>402</v>
      </c>
      <c r="AA112" s="43" t="s">
        <v>186</v>
      </c>
      <c r="AB112" s="43" t="s">
        <v>345</v>
      </c>
      <c r="AC112" s="43" t="s">
        <v>404</v>
      </c>
      <c r="AD112" s="43" t="s">
        <v>346</v>
      </c>
      <c r="AE112" s="43" t="s">
        <v>405</v>
      </c>
      <c r="AF112" s="43" t="s">
        <v>406</v>
      </c>
      <c r="AG112" s="43" t="s">
        <v>578</v>
      </c>
      <c r="AH112" s="35" t="s">
        <v>190</v>
      </c>
      <c r="AI112" s="35" t="s">
        <v>249</v>
      </c>
      <c r="AJ112" s="35" t="s">
        <v>191</v>
      </c>
      <c r="AK112" s="104"/>
      <c r="AL112" s="35"/>
      <c r="AM112" s="35"/>
      <c r="AN112" s="36"/>
      <c r="AO112" s="36"/>
      <c r="AP112" s="36"/>
      <c r="AQ112" s="36"/>
      <c r="AR112" s="36"/>
      <c r="AS112" s="36"/>
      <c r="AT112" s="36"/>
      <c r="AU112" s="36"/>
      <c r="AV112" s="36"/>
      <c r="AW112" s="36"/>
      <c r="AX112" s="36"/>
      <c r="AY112" s="36"/>
      <c r="AZ112" s="36"/>
      <c r="BA112" s="36"/>
      <c r="BB112" s="36"/>
      <c r="BC112" s="36"/>
      <c r="BD112" s="36"/>
      <c r="BE112" s="36"/>
      <c r="BF112" s="104"/>
      <c r="BG112" s="104"/>
    </row>
    <row r="113" spans="2:59" s="30" customFormat="1" ht="30" x14ac:dyDescent="0.2">
      <c r="B113" s="44" t="s">
        <v>475</v>
      </c>
      <c r="C113" s="171" t="str">
        <f>IF(ISNUMBER(C94),C94,"")</f>
        <v/>
      </c>
      <c r="D113" s="109" t="str">
        <f>D94</f>
        <v>m3itd</v>
      </c>
      <c r="G113" s="108">
        <f>IF(ISNUMBER(G94),G94,"")</f>
        <v>1.7</v>
      </c>
      <c r="H113" s="81" t="str">
        <f>IF(D113="t","t/t","t/m3")</f>
        <v>t/m3</v>
      </c>
      <c r="I113" s="81"/>
      <c r="J113" s="169" t="s">
        <v>395</v>
      </c>
      <c r="K113" s="92" t="str">
        <f>IFERROR(IF(ISNUMBER(L113),L113,(VLOOKUP(C114,Kalusto!$C$45:$G$84,5,FALSE)*VLOOKUP(C115,Muut!$D$40:$E$43,2,FALSE))),"--")</f>
        <v>--</v>
      </c>
      <c r="L113" s="39"/>
      <c r="M113" s="40" t="s">
        <v>184</v>
      </c>
      <c r="N113" s="40"/>
      <c r="O113" s="259"/>
      <c r="P113" s="145"/>
      <c r="Q113" s="100"/>
      <c r="R113" s="213" t="str">
        <f>IF(AND(NOT(ISNUMBER(AB113)),NOT(ISNUMBER(AG113))),"",IF(ISNUMBER(AB113),AB113,0)+IF(ISNUMBER(AG113),AG113,0))</f>
        <v/>
      </c>
      <c r="S113" s="98" t="s">
        <v>160</v>
      </c>
      <c r="T113" s="211" t="str">
        <f>IFERROR(IF(ISNUMBER(L113),"Kohdetieto",VLOOKUP(C114,Kalusto!$C$45:$L$84,7,FALSE)),"--")</f>
        <v>--</v>
      </c>
      <c r="U113" s="211" t="str">
        <f>IFERROR(IF(ISNUMBER(L113),"Kohdetieto",VLOOKUP(C114,Kalusto!$C$45:$L$84,8,FALSE)),"--")</f>
        <v>--</v>
      </c>
      <c r="V113" s="212" t="str">
        <f>IFERROR(IF(ISNUMBER(L113),"Kohdetieto",VLOOKUP(C114,Kalusto!$C$45:$L$84,9,FALSE)),"--")</f>
        <v>--</v>
      </c>
      <c r="W113" s="212" t="str">
        <f>IFERROR(IF(ISNUMBER(L113),"Kohdetieto",VLOOKUP(C114,Kalusto!$C$45:$L$84,10,FALSE)),"--")</f>
        <v>--</v>
      </c>
      <c r="X113" s="213" t="str">
        <f>IF(ISBLANK(C113),"",IF(D113="t",C113,IF(ISNUMBER(C113*G113),C113*G113,"")))</f>
        <v/>
      </c>
      <c r="Y113" s="211" t="str">
        <f>IF(ISNUMBER(C116),C116,"")</f>
        <v/>
      </c>
      <c r="Z113" s="213" t="str">
        <f>IF(ISNUMBER(X113/(U113*V113)*Y113),X113/(U113*V113)*Y113,"")</f>
        <v/>
      </c>
      <c r="AA113" s="214" t="str">
        <f>IF(ISNUMBER(L113),L113,K113)</f>
        <v>--</v>
      </c>
      <c r="AB113" s="213" t="str">
        <f>IF(ISNUMBER(Y113*X113*K113),Y113*X113*K113,"")</f>
        <v/>
      </c>
      <c r="AC113" s="213" t="str">
        <f>IF(C128="Kyllä",Y113,"")</f>
        <v/>
      </c>
      <c r="AD113" s="213" t="str">
        <f>IF(C128="Kyllä",IF(ISNUMBER(X113/(U113*V113)),X113/(U113*V113),""),"")</f>
        <v/>
      </c>
      <c r="AE113" s="48" t="str">
        <f>IF(ISNUMBER(AD113*AC113),AD113*AC113,"")</f>
        <v/>
      </c>
      <c r="AF113" s="49" t="str">
        <f>IF(ISNUMBER(L114),L114,K114)</f>
        <v>--</v>
      </c>
      <c r="AG113" s="48" t="str">
        <f>IF(ISNUMBER(AC113*AD113*K114),AC113*AD113*K114,"")</f>
        <v/>
      </c>
      <c r="AH113" s="46">
        <f>IF(T113="Jakelukuorma-auto",0,IF(T113="Maansiirtoauto",4,IF(T113="Puoliperävaunu",6,8)))</f>
        <v>8</v>
      </c>
      <c r="AI113" s="46">
        <f>IF(AND(T113="Jakelukuorma-auto",U113=6),0,IF(AND(T113="Jakelukuorma-auto",U113=15),2,0))</f>
        <v>0</v>
      </c>
      <c r="AJ113" s="46">
        <f>IF(W113="maantieajo",0,1)</f>
        <v>1</v>
      </c>
      <c r="AK113" s="104"/>
      <c r="AL113" s="35"/>
      <c r="AM113" s="35"/>
      <c r="AN113" s="36"/>
      <c r="AO113" s="36"/>
      <c r="AP113" s="36"/>
      <c r="AQ113" s="36"/>
      <c r="AR113" s="36"/>
      <c r="AS113" s="36"/>
      <c r="AT113" s="36"/>
      <c r="AU113" s="36"/>
      <c r="AV113" s="36"/>
      <c r="AW113" s="36"/>
      <c r="AX113" s="36"/>
      <c r="AY113" s="36"/>
      <c r="AZ113" s="36"/>
      <c r="BA113" s="36"/>
      <c r="BB113" s="36"/>
      <c r="BC113" s="36"/>
      <c r="BD113" s="36"/>
      <c r="BE113" s="36"/>
      <c r="BF113" s="104"/>
      <c r="BG113" s="104"/>
    </row>
    <row r="114" spans="2:59" s="30" customFormat="1" ht="45" x14ac:dyDescent="0.2">
      <c r="B114" s="166" t="s">
        <v>463</v>
      </c>
      <c r="C114" s="471" t="s">
        <v>298</v>
      </c>
      <c r="D114" s="472"/>
      <c r="E114" s="472"/>
      <c r="F114" s="472"/>
      <c r="G114" s="473"/>
      <c r="H114" s="81"/>
      <c r="I114" s="81"/>
      <c r="J114" s="32" t="s">
        <v>396</v>
      </c>
      <c r="K114" s="92" t="str">
        <f>IFERROR(IF(ISNUMBER(L114),L114,IF($C$128="Ei","",VLOOKUP(C114,Kalusto!$C$45:$U$84,19,FALSE)*VLOOKUP(C115,Muut!$D$40:$E$43,2,FALSE))),"--")</f>
        <v>--</v>
      </c>
      <c r="L114" s="39"/>
      <c r="M114" s="40" t="s">
        <v>188</v>
      </c>
      <c r="N114" s="40"/>
      <c r="O114" s="259"/>
      <c r="P114" s="143"/>
      <c r="Q114" s="101"/>
      <c r="R114" s="43"/>
      <c r="S114" s="35"/>
      <c r="T114" s="43"/>
      <c r="U114" s="43"/>
      <c r="V114" s="43"/>
      <c r="W114" s="43"/>
      <c r="X114" s="43"/>
      <c r="Y114" s="43"/>
      <c r="Z114" s="43"/>
      <c r="AA114" s="43"/>
      <c r="AB114" s="43"/>
      <c r="AC114" s="43"/>
      <c r="AD114" s="43"/>
      <c r="AE114" s="35"/>
      <c r="AF114" s="35"/>
      <c r="AG114" s="35"/>
      <c r="AH114" s="35"/>
      <c r="AI114" s="35"/>
      <c r="AJ114" s="35"/>
      <c r="AK114" s="104"/>
      <c r="AL114" s="35"/>
      <c r="AM114" s="35"/>
      <c r="AN114" s="36"/>
      <c r="AO114" s="36"/>
      <c r="AP114" s="36"/>
      <c r="AQ114" s="36"/>
      <c r="AR114" s="36"/>
      <c r="AS114" s="36"/>
      <c r="AT114" s="36"/>
      <c r="AU114" s="36"/>
      <c r="AV114" s="36"/>
      <c r="AW114" s="36"/>
      <c r="AX114" s="36"/>
      <c r="AY114" s="36"/>
      <c r="AZ114" s="36"/>
      <c r="BA114" s="36"/>
      <c r="BB114" s="36"/>
      <c r="BC114" s="36"/>
      <c r="BD114" s="36"/>
      <c r="BE114" s="36"/>
      <c r="BF114" s="104"/>
      <c r="BG114" s="104"/>
    </row>
    <row r="115" spans="2:59" s="30" customFormat="1" ht="15" x14ac:dyDescent="0.2">
      <c r="B115" s="182" t="s">
        <v>457</v>
      </c>
      <c r="C115" s="156" t="s">
        <v>309</v>
      </c>
      <c r="D115" s="33"/>
      <c r="E115" s="33"/>
      <c r="F115" s="33"/>
      <c r="G115" s="33"/>
      <c r="H115" s="57"/>
      <c r="J115" s="169"/>
      <c r="K115" s="169"/>
      <c r="L115" s="169"/>
      <c r="M115" s="40"/>
      <c r="N115" s="40"/>
      <c r="O115" s="259"/>
      <c r="Q115" s="45"/>
      <c r="R115" s="226"/>
      <c r="S115" s="98"/>
      <c r="T115" s="43"/>
      <c r="U115" s="43"/>
      <c r="V115" s="215"/>
      <c r="W115" s="215"/>
      <c r="X115" s="216"/>
      <c r="Y115" s="43"/>
      <c r="Z115" s="216"/>
      <c r="AA115" s="217"/>
      <c r="AB115" s="216"/>
      <c r="AC115" s="216"/>
      <c r="AD115" s="216"/>
      <c r="AE115" s="59"/>
      <c r="AF115" s="178"/>
      <c r="AG115" s="59"/>
      <c r="AH115" s="35"/>
      <c r="AI115" s="35"/>
      <c r="AJ115" s="35"/>
      <c r="AK115" s="104"/>
      <c r="AL115" s="35"/>
      <c r="AM115" s="35"/>
      <c r="AN115" s="36"/>
      <c r="AO115" s="36"/>
      <c r="AP115" s="36"/>
      <c r="AQ115" s="36"/>
      <c r="AR115" s="36"/>
      <c r="AS115" s="36"/>
      <c r="AT115" s="36"/>
      <c r="AU115" s="36"/>
      <c r="AV115" s="36"/>
      <c r="AW115" s="36"/>
      <c r="AX115" s="36"/>
      <c r="AY115" s="36"/>
      <c r="AZ115" s="36"/>
      <c r="BA115" s="36"/>
      <c r="BB115" s="36"/>
      <c r="BC115" s="36"/>
      <c r="BD115" s="36"/>
      <c r="BE115" s="36"/>
    </row>
    <row r="116" spans="2:59" s="30" customFormat="1" ht="15" x14ac:dyDescent="0.2">
      <c r="B116" s="44" t="s">
        <v>474</v>
      </c>
      <c r="C116" s="386"/>
      <c r="D116" s="81" t="s">
        <v>5</v>
      </c>
      <c r="G116" s="33"/>
      <c r="H116" s="81"/>
      <c r="I116" s="81"/>
      <c r="J116" s="32"/>
      <c r="K116" s="33"/>
      <c r="L116" s="33"/>
      <c r="M116" s="81"/>
      <c r="N116" s="81"/>
      <c r="O116" s="96"/>
      <c r="P116" s="146"/>
      <c r="Q116" s="101"/>
      <c r="R116" s="43"/>
      <c r="S116" s="35"/>
      <c r="T116" s="43"/>
      <c r="U116" s="43"/>
      <c r="V116" s="43"/>
      <c r="W116" s="43"/>
      <c r="X116" s="43"/>
      <c r="Y116" s="43"/>
      <c r="Z116" s="43"/>
      <c r="AA116" s="43"/>
      <c r="AB116" s="43"/>
      <c r="AC116" s="43"/>
      <c r="AD116" s="43"/>
      <c r="AE116" s="35"/>
      <c r="AF116" s="35"/>
      <c r="AG116" s="35"/>
      <c r="AH116" s="35"/>
      <c r="AI116" s="35"/>
      <c r="AJ116" s="35"/>
      <c r="AK116" s="104"/>
      <c r="AL116" s="35"/>
      <c r="AM116" s="35"/>
      <c r="AN116" s="36"/>
      <c r="AO116" s="36"/>
      <c r="AP116" s="36"/>
      <c r="AQ116" s="36"/>
      <c r="AR116" s="36"/>
      <c r="AS116" s="36"/>
      <c r="AT116" s="36"/>
      <c r="AU116" s="36"/>
      <c r="AV116" s="36"/>
      <c r="AW116" s="36"/>
      <c r="AX116" s="36"/>
      <c r="AY116" s="36"/>
      <c r="AZ116" s="36"/>
      <c r="BA116" s="36"/>
      <c r="BB116" s="36"/>
      <c r="BC116" s="36"/>
      <c r="BD116" s="36"/>
      <c r="BE116" s="36"/>
      <c r="BF116" s="104"/>
      <c r="BG116" s="104"/>
    </row>
    <row r="117" spans="2:59" s="30" customFormat="1" ht="15.75" x14ac:dyDescent="0.2">
      <c r="B117" s="91" t="str">
        <f>IF(LEFT(B95,6)="Hiekka","Hiekka",B95)</f>
        <v>Hiekka</v>
      </c>
      <c r="C117" s="33"/>
      <c r="D117" s="81"/>
      <c r="G117" s="33"/>
      <c r="H117" s="81"/>
      <c r="I117" s="81"/>
      <c r="J117" s="32"/>
      <c r="K117" s="37" t="s">
        <v>297</v>
      </c>
      <c r="L117" s="37" t="s">
        <v>185</v>
      </c>
      <c r="M117" s="83"/>
      <c r="N117" s="83"/>
      <c r="O117" s="260"/>
      <c r="P117" s="144"/>
      <c r="Q117" s="36"/>
      <c r="R117" s="43" t="s">
        <v>318</v>
      </c>
      <c r="S117" s="35"/>
      <c r="T117" s="43" t="s">
        <v>400</v>
      </c>
      <c r="U117" s="43" t="s">
        <v>399</v>
      </c>
      <c r="V117" s="43" t="s">
        <v>397</v>
      </c>
      <c r="W117" s="43" t="s">
        <v>398</v>
      </c>
      <c r="X117" s="43" t="s">
        <v>401</v>
      </c>
      <c r="Y117" s="43" t="s">
        <v>403</v>
      </c>
      <c r="Z117" s="43" t="s">
        <v>402</v>
      </c>
      <c r="AA117" s="43" t="s">
        <v>186</v>
      </c>
      <c r="AB117" s="43" t="s">
        <v>345</v>
      </c>
      <c r="AC117" s="43" t="s">
        <v>404</v>
      </c>
      <c r="AD117" s="43" t="s">
        <v>346</v>
      </c>
      <c r="AE117" s="43" t="s">
        <v>405</v>
      </c>
      <c r="AF117" s="43" t="s">
        <v>406</v>
      </c>
      <c r="AG117" s="43" t="s">
        <v>578</v>
      </c>
      <c r="AH117" s="35" t="s">
        <v>190</v>
      </c>
      <c r="AI117" s="35" t="s">
        <v>249</v>
      </c>
      <c r="AJ117" s="35" t="s">
        <v>191</v>
      </c>
      <c r="AK117" s="104"/>
      <c r="AL117" s="35"/>
      <c r="AM117" s="35"/>
      <c r="AN117" s="36"/>
      <c r="AO117" s="36"/>
      <c r="AP117" s="36"/>
      <c r="AQ117" s="36"/>
      <c r="AR117" s="36"/>
      <c r="AS117" s="36"/>
      <c r="AT117" s="36"/>
      <c r="AU117" s="36"/>
      <c r="AV117" s="36"/>
      <c r="AW117" s="36"/>
      <c r="AX117" s="36"/>
      <c r="AY117" s="36"/>
      <c r="AZ117" s="36"/>
      <c r="BA117" s="36"/>
      <c r="BB117" s="36"/>
      <c r="BC117" s="36"/>
      <c r="BD117" s="36"/>
      <c r="BE117" s="36"/>
      <c r="BF117" s="104"/>
      <c r="BG117" s="104"/>
    </row>
    <row r="118" spans="2:59" s="30" customFormat="1" ht="30" x14ac:dyDescent="0.2">
      <c r="B118" s="44" t="s">
        <v>475</v>
      </c>
      <c r="C118" s="171" t="str">
        <f>IF(ISNUMBER(C95),C95,"")</f>
        <v/>
      </c>
      <c r="D118" s="109" t="str">
        <f>D95</f>
        <v>m3itd</v>
      </c>
      <c r="G118" s="108">
        <f>IF(ISNUMBER(G95),G95,"")</f>
        <v>1.4</v>
      </c>
      <c r="H118" s="81" t="str">
        <f>IF(D118="t","t/t","t/m3")</f>
        <v>t/m3</v>
      </c>
      <c r="I118" s="81"/>
      <c r="J118" s="169" t="s">
        <v>395</v>
      </c>
      <c r="K118" s="92" t="str">
        <f>IFERROR(IF(ISNUMBER(L118),L118,(VLOOKUP(C119,Kalusto!$C$45:$G$84,5,FALSE)*VLOOKUP(C120,Muut!$D$40:$E$43,2,FALSE))),"--")</f>
        <v>--</v>
      </c>
      <c r="L118" s="39"/>
      <c r="M118" s="40" t="s">
        <v>184</v>
      </c>
      <c r="N118" s="40"/>
      <c r="O118" s="259"/>
      <c r="P118" s="145"/>
      <c r="Q118" s="100"/>
      <c r="R118" s="213" t="str">
        <f>IF(AND(NOT(ISNUMBER(AB118)),NOT(ISNUMBER(AG118))),"",IF(ISNUMBER(AB118),AB118,0)+IF(ISNUMBER(AG118),AG118,0))</f>
        <v/>
      </c>
      <c r="S118" s="98" t="s">
        <v>160</v>
      </c>
      <c r="T118" s="211" t="str">
        <f>IFERROR(IF(ISNUMBER(L118),"Kohdetieto",VLOOKUP(C119,Kalusto!$C$45:$L$84,7,FALSE)),"--")</f>
        <v>--</v>
      </c>
      <c r="U118" s="211" t="str">
        <f>IFERROR(IF(ISNUMBER(L118),"Kohdetieto",VLOOKUP(C119,Kalusto!$C$45:$L$84,8,FALSE)),"--")</f>
        <v>--</v>
      </c>
      <c r="V118" s="212" t="str">
        <f>IFERROR(IF(ISNUMBER(L118),"Kohdetieto",VLOOKUP(C119,Kalusto!$C$45:$L$84,9,FALSE)),"--")</f>
        <v>--</v>
      </c>
      <c r="W118" s="212" t="str">
        <f>IFERROR(IF(ISNUMBER(L118),"Kohdetieto",VLOOKUP(C119,Kalusto!$C$45:$L$84,10,FALSE)),"--")</f>
        <v>--</v>
      </c>
      <c r="X118" s="213" t="str">
        <f>IF(ISBLANK(C118),"",IF(D118="t",C118,IF(ISNUMBER(C118*G118),C118*G118,"")))</f>
        <v/>
      </c>
      <c r="Y118" s="211" t="str">
        <f>IF(ISNUMBER(C121),C121,"")</f>
        <v/>
      </c>
      <c r="Z118" s="213" t="str">
        <f>IF(ISNUMBER(X118/(U118*V118)*Y118),X118/(U118*V118)*Y118,"")</f>
        <v/>
      </c>
      <c r="AA118" s="214" t="str">
        <f>IF(ISNUMBER(L118),L118,K118)</f>
        <v>--</v>
      </c>
      <c r="AB118" s="213" t="str">
        <f>IF(ISNUMBER(Y118*X118*K118),Y118*X118*K118,"")</f>
        <v/>
      </c>
      <c r="AC118" s="213" t="str">
        <f>IF(C128="Kyllä",Y118,"")</f>
        <v/>
      </c>
      <c r="AD118" s="213" t="str">
        <f>IF(C128="Kyllä",IF(ISNUMBER(X118/(U118*V118)),X118/(U118*V118),""),"")</f>
        <v/>
      </c>
      <c r="AE118" s="48" t="str">
        <f>IF(ISNUMBER(AD118*AC118),AD118*AC118,"")</f>
        <v/>
      </c>
      <c r="AF118" s="49" t="str">
        <f>IF(ISNUMBER(L119),L119,K119)</f>
        <v>--</v>
      </c>
      <c r="AG118" s="48" t="str">
        <f>IF(ISNUMBER(AC118*AD118*K119),AC118*AD118*K119,"")</f>
        <v/>
      </c>
      <c r="AH118" s="46">
        <f>IF(T118="Jakelukuorma-auto",0,IF(T118="Maansiirtoauto",4,IF(T118="Puoliperävaunu",6,8)))</f>
        <v>8</v>
      </c>
      <c r="AI118" s="46">
        <f>IF(AND(T118="Jakelukuorma-auto",U118=6),0,IF(AND(T118="Jakelukuorma-auto",U118=15),2,0))</f>
        <v>0</v>
      </c>
      <c r="AJ118" s="46">
        <f>IF(W118="maantieajo",0,1)</f>
        <v>1</v>
      </c>
      <c r="AK118" s="104"/>
      <c r="AL118" s="35"/>
      <c r="AM118" s="35"/>
      <c r="AN118" s="36"/>
      <c r="AO118" s="36"/>
      <c r="AP118" s="36"/>
      <c r="AQ118" s="36"/>
      <c r="AR118" s="36"/>
      <c r="AS118" s="36"/>
      <c r="AT118" s="36"/>
      <c r="AU118" s="36"/>
      <c r="AV118" s="36"/>
      <c r="AW118" s="36"/>
      <c r="AX118" s="36"/>
      <c r="AY118" s="36"/>
      <c r="AZ118" s="36"/>
      <c r="BA118" s="36"/>
      <c r="BB118" s="36"/>
      <c r="BC118" s="36"/>
      <c r="BD118" s="36"/>
      <c r="BE118" s="36"/>
      <c r="BF118" s="104"/>
      <c r="BG118" s="104"/>
    </row>
    <row r="119" spans="2:59" s="30" customFormat="1" ht="45" x14ac:dyDescent="0.2">
      <c r="B119" s="166" t="s">
        <v>463</v>
      </c>
      <c r="C119" s="471" t="s">
        <v>298</v>
      </c>
      <c r="D119" s="472"/>
      <c r="E119" s="472"/>
      <c r="F119" s="472"/>
      <c r="G119" s="473"/>
      <c r="H119" s="81"/>
      <c r="I119" s="81"/>
      <c r="J119" s="32" t="s">
        <v>396</v>
      </c>
      <c r="K119" s="92" t="str">
        <f>IFERROR(IF(ISNUMBER(L119),L119,IF($C$128="Ei","",VLOOKUP(C119,Kalusto!$C$45:$U$84,19,FALSE)*VLOOKUP(C120,Muut!$D$40:$E$43,2,FALSE))),"--")</f>
        <v>--</v>
      </c>
      <c r="L119" s="39"/>
      <c r="M119" s="40" t="s">
        <v>188</v>
      </c>
      <c r="N119" s="40"/>
      <c r="O119" s="259"/>
      <c r="P119" s="143"/>
      <c r="Q119" s="101"/>
      <c r="R119" s="43"/>
      <c r="S119" s="35"/>
      <c r="T119" s="43"/>
      <c r="U119" s="43"/>
      <c r="V119" s="43"/>
      <c r="W119" s="43"/>
      <c r="X119" s="43"/>
      <c r="Y119" s="43"/>
      <c r="Z119" s="43"/>
      <c r="AA119" s="43"/>
      <c r="AB119" s="43"/>
      <c r="AC119" s="43"/>
      <c r="AD119" s="43"/>
      <c r="AE119" s="35"/>
      <c r="AF119" s="35"/>
      <c r="AG119" s="35"/>
      <c r="AH119" s="35"/>
      <c r="AI119" s="35"/>
      <c r="AJ119" s="35"/>
      <c r="AK119" s="104"/>
      <c r="AL119" s="35"/>
      <c r="AM119" s="35"/>
      <c r="AN119" s="36"/>
      <c r="AO119" s="36"/>
      <c r="AP119" s="36"/>
      <c r="AQ119" s="36"/>
      <c r="AR119" s="36"/>
      <c r="AS119" s="36"/>
      <c r="AT119" s="36"/>
      <c r="AU119" s="36"/>
      <c r="AV119" s="36"/>
      <c r="AW119" s="36"/>
      <c r="AX119" s="36"/>
      <c r="AY119" s="36"/>
      <c r="AZ119" s="36"/>
      <c r="BA119" s="36"/>
      <c r="BB119" s="36"/>
      <c r="BC119" s="36"/>
      <c r="BD119" s="36"/>
      <c r="BE119" s="36"/>
      <c r="BF119" s="104"/>
      <c r="BG119" s="104"/>
    </row>
    <row r="120" spans="2:59" s="30" customFormat="1" ht="15" x14ac:dyDescent="0.2">
      <c r="B120" s="182" t="s">
        <v>457</v>
      </c>
      <c r="C120" s="156" t="s">
        <v>309</v>
      </c>
      <c r="D120" s="33"/>
      <c r="E120" s="33"/>
      <c r="F120" s="33"/>
      <c r="G120" s="33"/>
      <c r="H120" s="57"/>
      <c r="J120" s="169"/>
      <c r="K120" s="169"/>
      <c r="L120" s="169"/>
      <c r="M120" s="40"/>
      <c r="N120" s="40"/>
      <c r="O120" s="259"/>
      <c r="Q120" s="45"/>
      <c r="R120" s="226"/>
      <c r="S120" s="98"/>
      <c r="T120" s="43"/>
      <c r="U120" s="43"/>
      <c r="V120" s="215"/>
      <c r="W120" s="215"/>
      <c r="X120" s="216"/>
      <c r="Y120" s="43"/>
      <c r="Z120" s="216"/>
      <c r="AA120" s="217"/>
      <c r="AB120" s="216"/>
      <c r="AC120" s="216"/>
      <c r="AD120" s="216"/>
      <c r="AE120" s="59"/>
      <c r="AF120" s="178"/>
      <c r="AG120" s="59"/>
      <c r="AH120" s="35"/>
      <c r="AI120" s="35"/>
      <c r="AJ120" s="35"/>
      <c r="AK120" s="104"/>
      <c r="AL120" s="35"/>
      <c r="AM120" s="35"/>
      <c r="AN120" s="36"/>
      <c r="AO120" s="36"/>
      <c r="AP120" s="36"/>
      <c r="AQ120" s="36"/>
      <c r="AR120" s="36"/>
      <c r="AS120" s="36"/>
      <c r="AT120" s="36"/>
      <c r="AU120" s="36"/>
      <c r="AV120" s="36"/>
      <c r="AW120" s="36"/>
      <c r="AX120" s="36"/>
      <c r="AY120" s="36"/>
      <c r="AZ120" s="36"/>
      <c r="BA120" s="36"/>
      <c r="BB120" s="36"/>
      <c r="BC120" s="36"/>
      <c r="BD120" s="36"/>
      <c r="BE120" s="36"/>
    </row>
    <row r="121" spans="2:59" s="30" customFormat="1" ht="15" x14ac:dyDescent="0.2">
      <c r="B121" s="44" t="s">
        <v>474</v>
      </c>
      <c r="C121" s="386"/>
      <c r="D121" s="81" t="s">
        <v>5</v>
      </c>
      <c r="G121" s="33"/>
      <c r="H121" s="81"/>
      <c r="I121" s="81"/>
      <c r="J121" s="32"/>
      <c r="K121" s="33"/>
      <c r="L121" s="33"/>
      <c r="M121" s="81"/>
      <c r="N121" s="81"/>
      <c r="O121" s="96"/>
      <c r="P121" s="146"/>
      <c r="Q121" s="101"/>
      <c r="R121" s="43"/>
      <c r="S121" s="35"/>
      <c r="T121" s="43"/>
      <c r="U121" s="43"/>
      <c r="V121" s="43"/>
      <c r="W121" s="43"/>
      <c r="X121" s="43"/>
      <c r="Y121" s="43"/>
      <c r="Z121" s="43"/>
      <c r="AA121" s="43"/>
      <c r="AB121" s="43"/>
      <c r="AC121" s="43"/>
      <c r="AD121" s="43"/>
      <c r="AE121" s="35"/>
      <c r="AF121" s="35"/>
      <c r="AG121" s="35"/>
      <c r="AH121" s="35"/>
      <c r="AI121" s="35"/>
      <c r="AJ121" s="35"/>
      <c r="AK121" s="104"/>
      <c r="AL121" s="35"/>
      <c r="AM121" s="35"/>
      <c r="AN121" s="36"/>
      <c r="AO121" s="36"/>
      <c r="AP121" s="36"/>
      <c r="AQ121" s="36"/>
      <c r="AR121" s="36"/>
      <c r="AS121" s="36"/>
      <c r="AT121" s="36"/>
      <c r="AU121" s="36"/>
      <c r="AV121" s="36"/>
      <c r="AW121" s="36"/>
      <c r="AX121" s="36"/>
      <c r="AY121" s="36"/>
      <c r="AZ121" s="36"/>
      <c r="BA121" s="36"/>
      <c r="BB121" s="36"/>
      <c r="BC121" s="36"/>
      <c r="BD121" s="36"/>
      <c r="BE121" s="36"/>
      <c r="BF121" s="104"/>
      <c r="BG121" s="104"/>
    </row>
    <row r="122" spans="2:59" s="30" customFormat="1" ht="15.75" x14ac:dyDescent="0.2">
      <c r="B122" s="91" t="str">
        <f>B96</f>
        <v>Maa-aineksen 5 kuvaus (valitse yksikkö ja mahdollinen muuntokerroin tonneiksi)</v>
      </c>
      <c r="C122" s="33"/>
      <c r="D122" s="81"/>
      <c r="G122" s="33"/>
      <c r="H122" s="81"/>
      <c r="I122" s="81"/>
      <c r="J122" s="32"/>
      <c r="K122" s="37" t="s">
        <v>297</v>
      </c>
      <c r="L122" s="37" t="s">
        <v>185</v>
      </c>
      <c r="M122" s="83"/>
      <c r="N122" s="83"/>
      <c r="O122" s="260"/>
      <c r="P122" s="144"/>
      <c r="Q122" s="36"/>
      <c r="R122" s="43" t="s">
        <v>318</v>
      </c>
      <c r="S122" s="35"/>
      <c r="T122" s="43" t="s">
        <v>400</v>
      </c>
      <c r="U122" s="43" t="s">
        <v>399</v>
      </c>
      <c r="V122" s="43" t="s">
        <v>397</v>
      </c>
      <c r="W122" s="43" t="s">
        <v>398</v>
      </c>
      <c r="X122" s="43" t="s">
        <v>401</v>
      </c>
      <c r="Y122" s="43" t="s">
        <v>403</v>
      </c>
      <c r="Z122" s="43" t="s">
        <v>402</v>
      </c>
      <c r="AA122" s="43" t="s">
        <v>186</v>
      </c>
      <c r="AB122" s="43" t="s">
        <v>345</v>
      </c>
      <c r="AC122" s="43" t="s">
        <v>404</v>
      </c>
      <c r="AD122" s="43" t="s">
        <v>346</v>
      </c>
      <c r="AE122" s="43" t="s">
        <v>405</v>
      </c>
      <c r="AF122" s="43" t="s">
        <v>406</v>
      </c>
      <c r="AG122" s="43" t="s">
        <v>578</v>
      </c>
      <c r="AH122" s="35" t="s">
        <v>190</v>
      </c>
      <c r="AI122" s="35" t="s">
        <v>249</v>
      </c>
      <c r="AJ122" s="35" t="s">
        <v>191</v>
      </c>
      <c r="AK122" s="104"/>
      <c r="AL122" s="35"/>
      <c r="AM122" s="35"/>
      <c r="AN122" s="36"/>
      <c r="AO122" s="36"/>
      <c r="AP122" s="36"/>
      <c r="AQ122" s="36"/>
      <c r="AR122" s="36"/>
      <c r="AS122" s="36"/>
      <c r="AT122" s="36"/>
      <c r="AU122" s="36"/>
      <c r="AV122" s="36"/>
      <c r="AW122" s="36"/>
      <c r="AX122" s="36"/>
      <c r="AY122" s="36"/>
      <c r="AZ122" s="36"/>
      <c r="BA122" s="36"/>
      <c r="BB122" s="36"/>
      <c r="BC122" s="36"/>
      <c r="BD122" s="36"/>
      <c r="BE122" s="36"/>
      <c r="BF122" s="104"/>
      <c r="BG122" s="104"/>
    </row>
    <row r="123" spans="2:59" s="30" customFormat="1" ht="30" x14ac:dyDescent="0.2">
      <c r="B123" s="44" t="s">
        <v>477</v>
      </c>
      <c r="C123" s="171" t="str">
        <f>IF(ISNUMBER(C96),C96,"")</f>
        <v/>
      </c>
      <c r="D123" s="109" t="str">
        <f>D96</f>
        <v>m3itd</v>
      </c>
      <c r="G123" s="108" t="str">
        <f>IF(ISNUMBER(G96),G96,"")</f>
        <v/>
      </c>
      <c r="H123" s="81" t="str">
        <f>IF(D123="t","t/t","t/m3")</f>
        <v>t/m3</v>
      </c>
      <c r="I123" s="81"/>
      <c r="J123" s="169" t="s">
        <v>395</v>
      </c>
      <c r="K123" s="92" t="str">
        <f>IFERROR(IF(ISNUMBER(L123),L123,(VLOOKUP(C124,Kalusto!$C$45:$G$84,5,FALSE)*VLOOKUP(C125,Muut!$D$40:$E$43,2,FALSE))),"--")</f>
        <v>--</v>
      </c>
      <c r="L123" s="39"/>
      <c r="M123" s="40" t="s">
        <v>184</v>
      </c>
      <c r="N123" s="40"/>
      <c r="O123" s="259"/>
      <c r="P123" s="145"/>
      <c r="Q123" s="100"/>
      <c r="R123" s="213" t="str">
        <f>IF(AND(NOT(ISNUMBER(AB123)),NOT(ISNUMBER(AG123))),"",IF(ISNUMBER(AB123),AB123,0)+IF(ISNUMBER(AG123),AG123,0))</f>
        <v/>
      </c>
      <c r="S123" s="98" t="s">
        <v>160</v>
      </c>
      <c r="T123" s="211" t="str">
        <f>IFERROR(IF(ISNUMBER(L123),"Kohdetieto",VLOOKUP(C124,Kalusto!$C$45:$L$84,7,FALSE)),"--")</f>
        <v>--</v>
      </c>
      <c r="U123" s="211" t="str">
        <f>IFERROR(IF(ISNUMBER(L123),"Kohdetieto",VLOOKUP(C124,Kalusto!$C$45:$L$84,8,FALSE)),"--")</f>
        <v>--</v>
      </c>
      <c r="V123" s="212" t="str">
        <f>IFERROR(IF(ISNUMBER(L123),"Kohdetieto",VLOOKUP(C124,Kalusto!$C$45:$L$84,9,FALSE)),"--")</f>
        <v>--</v>
      </c>
      <c r="W123" s="212" t="str">
        <f>IFERROR(IF(ISNUMBER(L123),"Kohdetieto",VLOOKUP(C124,Kalusto!$C$45:$L$84,10,FALSE)),"--")</f>
        <v>--</v>
      </c>
      <c r="X123" s="213" t="str">
        <f>IF(ISBLANK(C123),"",IF(D123="t",C123,IF(ISNUMBER(C123*G123),C123*G123,"")))</f>
        <v/>
      </c>
      <c r="Y123" s="211" t="str">
        <f>IF(ISNUMBER(C126),C126,"")</f>
        <v/>
      </c>
      <c r="Z123" s="213" t="str">
        <f>IF(ISNUMBER(X123/(U123*V123)*Y123),X123/(U123*V123)*Y123,"")</f>
        <v/>
      </c>
      <c r="AA123" s="214" t="str">
        <f>IF(ISNUMBER(L123),L123,K123)</f>
        <v>--</v>
      </c>
      <c r="AB123" s="213" t="str">
        <f>IF(ISNUMBER(Y123*X123*K123),Y123*X123*K123,"")</f>
        <v/>
      </c>
      <c r="AC123" s="213" t="str">
        <f>IF(C128="Kyllä",Y123,"")</f>
        <v/>
      </c>
      <c r="AD123" s="213" t="str">
        <f>IF(C128="Kyllä",IF(ISNUMBER(X123/(U123*V123)),X123/(U123*V123),""),"")</f>
        <v/>
      </c>
      <c r="AE123" s="48" t="str">
        <f>IF(ISNUMBER(AD123*AC123),AD123*AC123,"")</f>
        <v/>
      </c>
      <c r="AF123" s="49" t="str">
        <f>IF(ISNUMBER(L124),L124,K124)</f>
        <v>--</v>
      </c>
      <c r="AG123" s="48" t="str">
        <f>IF(ISNUMBER(AC123*AD123*K124),AC123*AD123*K124,"")</f>
        <v/>
      </c>
      <c r="AH123" s="46">
        <f>IF(T123="Jakelukuorma-auto",0,IF(T123="Maansiirtoauto",4,IF(T123="Puoliperävaunu",6,8)))</f>
        <v>8</v>
      </c>
      <c r="AI123" s="46">
        <f>IF(AND(T123="Jakelukuorma-auto",U123=6),0,IF(AND(T123="Jakelukuorma-auto",U123=15),2,0))</f>
        <v>0</v>
      </c>
      <c r="AJ123" s="46">
        <f>IF(W123="maantieajo",0,1)</f>
        <v>1</v>
      </c>
      <c r="AK123" s="104"/>
      <c r="AL123" s="35"/>
      <c r="AM123" s="35"/>
      <c r="AN123" s="36"/>
      <c r="AO123" s="36"/>
      <c r="AP123" s="36"/>
      <c r="AQ123" s="36"/>
      <c r="AR123" s="36"/>
      <c r="AS123" s="36"/>
      <c r="AT123" s="36"/>
      <c r="AU123" s="36"/>
      <c r="AV123" s="36"/>
      <c r="AW123" s="36"/>
      <c r="AX123" s="36"/>
      <c r="AY123" s="36"/>
      <c r="AZ123" s="36"/>
      <c r="BA123" s="36"/>
      <c r="BB123" s="36"/>
      <c r="BC123" s="36"/>
      <c r="BD123" s="36"/>
      <c r="BE123" s="36"/>
      <c r="BF123" s="104"/>
      <c r="BG123" s="104"/>
    </row>
    <row r="124" spans="2:59" s="30" customFormat="1" ht="45" x14ac:dyDescent="0.2">
      <c r="B124" s="166" t="s">
        <v>463</v>
      </c>
      <c r="C124" s="471" t="s">
        <v>298</v>
      </c>
      <c r="D124" s="472"/>
      <c r="E124" s="472"/>
      <c r="F124" s="472"/>
      <c r="G124" s="473"/>
      <c r="H124" s="81"/>
      <c r="I124" s="81"/>
      <c r="J124" s="32" t="s">
        <v>396</v>
      </c>
      <c r="K124" s="92" t="str">
        <f>IFERROR(IF(ISNUMBER(L124),L124,IF($C$128="Ei","",VLOOKUP(C124,Kalusto!$C$45:$U$84,19,FALSE)*VLOOKUP(C125,Muut!$D$40:$E$43,2,FALSE))),"--")</f>
        <v>--</v>
      </c>
      <c r="L124" s="39"/>
      <c r="M124" s="40" t="s">
        <v>188</v>
      </c>
      <c r="N124" s="40"/>
      <c r="O124" s="259"/>
      <c r="P124" s="143"/>
      <c r="Q124" s="101"/>
      <c r="R124" s="102"/>
      <c r="S124" s="35"/>
      <c r="T124" s="43"/>
      <c r="U124" s="43"/>
      <c r="V124" s="43"/>
      <c r="W124" s="43"/>
      <c r="X124" s="43"/>
      <c r="Y124" s="43"/>
      <c r="Z124" s="43"/>
      <c r="AA124" s="43"/>
      <c r="AB124" s="43"/>
      <c r="AC124" s="43"/>
      <c r="AD124" s="43"/>
      <c r="AE124" s="35"/>
      <c r="AF124" s="35"/>
      <c r="AG124" s="35"/>
      <c r="AH124" s="35"/>
      <c r="AI124" s="35"/>
      <c r="AJ124" s="35"/>
      <c r="AK124" s="35"/>
      <c r="AL124" s="35"/>
      <c r="AM124" s="35"/>
      <c r="AN124" s="36"/>
      <c r="AO124" s="36"/>
      <c r="AP124" s="36"/>
      <c r="AQ124" s="36"/>
      <c r="AR124" s="36"/>
      <c r="AS124" s="36"/>
      <c r="AT124" s="36"/>
      <c r="AU124" s="36"/>
      <c r="AV124" s="36"/>
      <c r="AW124" s="36"/>
      <c r="AX124" s="36"/>
      <c r="AY124" s="36"/>
      <c r="AZ124" s="36"/>
      <c r="BA124" s="36"/>
      <c r="BB124" s="36"/>
      <c r="BC124" s="36"/>
      <c r="BD124" s="36"/>
      <c r="BE124" s="36"/>
      <c r="BF124" s="104"/>
      <c r="BG124" s="104"/>
    </row>
    <row r="125" spans="2:59" s="30" customFormat="1" ht="15" x14ac:dyDescent="0.2">
      <c r="B125" s="182" t="s">
        <v>457</v>
      </c>
      <c r="C125" s="156" t="s">
        <v>309</v>
      </c>
      <c r="D125" s="33"/>
      <c r="E125" s="33"/>
      <c r="F125" s="33"/>
      <c r="G125" s="33"/>
      <c r="H125" s="57"/>
      <c r="J125" s="169"/>
      <c r="K125" s="169"/>
      <c r="L125" s="169"/>
      <c r="M125" s="40"/>
      <c r="N125" s="40"/>
      <c r="O125" s="259"/>
      <c r="Q125" s="45"/>
      <c r="R125" s="226"/>
      <c r="S125" s="98"/>
      <c r="T125" s="43"/>
      <c r="U125" s="43"/>
      <c r="V125" s="215"/>
      <c r="W125" s="215"/>
      <c r="X125" s="216"/>
      <c r="Y125" s="43"/>
      <c r="Z125" s="216"/>
      <c r="AA125" s="217"/>
      <c r="AB125" s="216"/>
      <c r="AC125" s="216"/>
      <c r="AD125" s="216"/>
      <c r="AE125" s="59"/>
      <c r="AF125" s="178"/>
      <c r="AG125" s="59"/>
      <c r="AH125" s="35"/>
      <c r="AI125" s="35"/>
      <c r="AJ125" s="35"/>
      <c r="AK125" s="104"/>
      <c r="AL125" s="35"/>
      <c r="AM125" s="35"/>
      <c r="AN125" s="36"/>
      <c r="AO125" s="36"/>
      <c r="AP125" s="36"/>
      <c r="AQ125" s="36"/>
      <c r="AR125" s="36"/>
      <c r="AS125" s="36"/>
      <c r="AT125" s="36"/>
      <c r="AU125" s="36"/>
      <c r="AV125" s="36"/>
      <c r="AW125" s="36"/>
      <c r="AX125" s="36"/>
      <c r="AY125" s="36"/>
      <c r="AZ125" s="36"/>
      <c r="BA125" s="36"/>
      <c r="BB125" s="36"/>
      <c r="BC125" s="36"/>
      <c r="BD125" s="36"/>
      <c r="BE125" s="36"/>
    </row>
    <row r="126" spans="2:59" s="30" customFormat="1" ht="15" x14ac:dyDescent="0.2">
      <c r="B126" s="44" t="s">
        <v>474</v>
      </c>
      <c r="C126" s="386"/>
      <c r="D126" s="81" t="s">
        <v>5</v>
      </c>
      <c r="G126" s="33"/>
      <c r="H126" s="81"/>
      <c r="I126" s="81"/>
      <c r="J126" s="32"/>
      <c r="K126" s="33"/>
      <c r="L126" s="33"/>
      <c r="M126" s="81"/>
      <c r="N126" s="81"/>
      <c r="O126" s="96"/>
      <c r="P126" s="146"/>
      <c r="Q126" s="101"/>
      <c r="R126" s="102"/>
      <c r="S126" s="35"/>
      <c r="T126" s="43"/>
      <c r="U126" s="43"/>
      <c r="V126" s="43"/>
      <c r="W126" s="43"/>
      <c r="X126" s="43"/>
      <c r="Y126" s="43"/>
      <c r="Z126" s="43"/>
      <c r="AA126" s="43"/>
      <c r="AB126" s="43"/>
      <c r="AC126" s="43"/>
      <c r="AD126" s="43"/>
      <c r="AE126" s="35"/>
      <c r="AF126" s="35"/>
      <c r="AG126" s="35"/>
      <c r="AH126" s="35"/>
      <c r="AI126" s="35"/>
      <c r="AJ126" s="35"/>
      <c r="AK126" s="35"/>
      <c r="AL126" s="35"/>
      <c r="AM126" s="35"/>
      <c r="AN126" s="36"/>
      <c r="AO126" s="36"/>
      <c r="AP126" s="36"/>
      <c r="AQ126" s="36"/>
      <c r="AR126" s="36"/>
      <c r="AS126" s="36"/>
      <c r="AT126" s="36"/>
      <c r="AU126" s="36"/>
      <c r="AV126" s="36"/>
      <c r="AW126" s="36"/>
      <c r="AX126" s="36"/>
      <c r="AY126" s="36"/>
      <c r="AZ126" s="36"/>
      <c r="BA126" s="36"/>
      <c r="BB126" s="36"/>
      <c r="BC126" s="36"/>
      <c r="BD126" s="36"/>
      <c r="BE126" s="36"/>
      <c r="BF126" s="104"/>
      <c r="BG126" s="104"/>
    </row>
    <row r="127" spans="2:59" s="30" customFormat="1" ht="15" x14ac:dyDescent="0.2">
      <c r="C127" s="33"/>
      <c r="D127" s="81"/>
      <c r="G127" s="33"/>
      <c r="H127" s="81"/>
      <c r="I127" s="81"/>
      <c r="J127" s="32"/>
      <c r="K127" s="33"/>
      <c r="L127" s="33"/>
      <c r="M127" s="81"/>
      <c r="N127" s="81"/>
      <c r="O127" s="96"/>
      <c r="P127" s="67"/>
      <c r="Q127" s="36"/>
      <c r="R127" s="102"/>
      <c r="S127" s="35"/>
      <c r="T127" s="43"/>
      <c r="U127" s="43"/>
      <c r="V127" s="43"/>
      <c r="W127" s="43"/>
      <c r="X127" s="43"/>
      <c r="Y127" s="43"/>
      <c r="Z127" s="43"/>
      <c r="AA127" s="43"/>
      <c r="AB127" s="43"/>
      <c r="AC127" s="43"/>
      <c r="AD127" s="43"/>
      <c r="AE127" s="35"/>
      <c r="AF127" s="35"/>
      <c r="AG127" s="35"/>
      <c r="AH127" s="35"/>
      <c r="AI127" s="35"/>
      <c r="AJ127" s="35"/>
      <c r="AK127" s="35"/>
      <c r="AL127" s="35"/>
      <c r="AM127" s="35"/>
      <c r="AN127" s="36"/>
      <c r="AO127" s="36"/>
      <c r="AP127" s="36"/>
      <c r="AQ127" s="36"/>
      <c r="AR127" s="36"/>
      <c r="AS127" s="36"/>
      <c r="AT127" s="36"/>
      <c r="AU127" s="36"/>
      <c r="AV127" s="36"/>
      <c r="AW127" s="36"/>
      <c r="AX127" s="36"/>
      <c r="AY127" s="36"/>
      <c r="AZ127" s="36"/>
      <c r="BA127" s="36"/>
      <c r="BB127" s="36"/>
      <c r="BC127" s="36"/>
      <c r="BD127" s="36"/>
      <c r="BE127" s="36"/>
      <c r="BF127" s="104"/>
      <c r="BG127" s="104"/>
    </row>
    <row r="128" spans="2:59" s="30" customFormat="1" ht="45" x14ac:dyDescent="0.2">
      <c r="B128" s="76" t="s">
        <v>606</v>
      </c>
      <c r="C128" s="471" t="s">
        <v>6</v>
      </c>
      <c r="D128" s="473"/>
      <c r="G128" s="33"/>
      <c r="H128" s="81"/>
      <c r="J128" s="32"/>
      <c r="K128" s="33"/>
      <c r="L128" s="33"/>
      <c r="M128" s="81"/>
      <c r="N128" s="81"/>
      <c r="O128" s="96"/>
      <c r="P128" s="67"/>
      <c r="Q128" s="36"/>
      <c r="R128" s="102"/>
      <c r="S128" s="35"/>
      <c r="T128" s="43"/>
      <c r="U128" s="43"/>
      <c r="V128" s="43"/>
      <c r="W128" s="43"/>
      <c r="X128" s="43"/>
      <c r="Y128" s="43"/>
      <c r="Z128" s="43"/>
      <c r="AA128" s="43"/>
      <c r="AB128" s="43"/>
      <c r="AC128" s="43"/>
      <c r="AD128" s="43"/>
      <c r="AE128" s="35"/>
      <c r="AF128" s="35"/>
      <c r="AG128" s="35"/>
      <c r="AH128" s="35"/>
      <c r="AI128" s="35"/>
      <c r="AJ128" s="35"/>
      <c r="AK128" s="35"/>
      <c r="AL128" s="35"/>
      <c r="AM128" s="35"/>
      <c r="AN128" s="36"/>
      <c r="AO128" s="36"/>
      <c r="AP128" s="36"/>
      <c r="AQ128" s="36"/>
      <c r="AR128" s="36"/>
      <c r="AS128" s="36"/>
      <c r="AT128" s="36"/>
      <c r="AU128" s="36"/>
      <c r="AV128" s="36"/>
      <c r="AW128" s="36"/>
      <c r="AX128" s="36"/>
      <c r="AY128" s="36"/>
      <c r="AZ128" s="36"/>
      <c r="BA128" s="36"/>
      <c r="BB128" s="36"/>
      <c r="BC128" s="36"/>
      <c r="BD128" s="36"/>
      <c r="BE128" s="36"/>
      <c r="BF128" s="104"/>
      <c r="BG128" s="104"/>
    </row>
    <row r="129" spans="2:57" s="30" customFormat="1" ht="15" x14ac:dyDescent="0.2">
      <c r="C129" s="33"/>
      <c r="D129" s="81"/>
      <c r="G129" s="33"/>
      <c r="H129" s="81"/>
      <c r="J129" s="32"/>
      <c r="K129" s="33"/>
      <c r="L129" s="33"/>
      <c r="M129" s="81"/>
      <c r="N129" s="81"/>
      <c r="O129" s="81"/>
      <c r="Q129" s="34"/>
      <c r="R129" s="102"/>
      <c r="S129" s="35"/>
      <c r="T129" s="43"/>
      <c r="U129" s="43"/>
      <c r="V129" s="43"/>
      <c r="W129" s="43"/>
      <c r="X129" s="43"/>
      <c r="Y129" s="43"/>
      <c r="Z129" s="43"/>
      <c r="AA129" s="43"/>
      <c r="AB129" s="43"/>
      <c r="AC129" s="43"/>
      <c r="AD129" s="43"/>
      <c r="AE129" s="35"/>
      <c r="AF129" s="35"/>
      <c r="AG129" s="35"/>
      <c r="AH129" s="35"/>
      <c r="AI129" s="35"/>
      <c r="AJ129" s="35"/>
      <c r="AK129" s="35"/>
      <c r="AL129" s="35"/>
      <c r="AM129" s="35"/>
      <c r="AN129" s="36"/>
      <c r="AO129" s="36"/>
      <c r="AP129" s="36"/>
      <c r="AQ129" s="36"/>
      <c r="AR129" s="36"/>
      <c r="AS129" s="36"/>
      <c r="AT129" s="36"/>
      <c r="AU129" s="36"/>
      <c r="AV129" s="36"/>
      <c r="AW129" s="36"/>
      <c r="AX129" s="36"/>
      <c r="AY129" s="36"/>
      <c r="AZ129" s="36"/>
      <c r="BA129" s="36"/>
      <c r="BB129" s="36"/>
      <c r="BC129" s="36"/>
      <c r="BD129" s="36"/>
      <c r="BE129" s="36"/>
    </row>
    <row r="130" spans="2:57" s="289" customFormat="1" ht="18" x14ac:dyDescent="0.2">
      <c r="B130" s="286" t="s">
        <v>589</v>
      </c>
      <c r="C130" s="287"/>
      <c r="D130" s="288"/>
      <c r="G130" s="287"/>
      <c r="H130" s="288"/>
      <c r="K130" s="287"/>
      <c r="L130" s="287"/>
      <c r="M130" s="288"/>
      <c r="N130" s="288"/>
      <c r="O130" s="291"/>
      <c r="P130" s="311"/>
      <c r="Q130" s="295"/>
      <c r="S130" s="294"/>
      <c r="T130" s="294"/>
      <c r="U130" s="294"/>
      <c r="V130" s="294"/>
      <c r="W130" s="294"/>
      <c r="X130" s="294"/>
      <c r="Y130" s="294"/>
      <c r="Z130" s="294"/>
      <c r="AA130" s="294"/>
      <c r="AB130" s="294"/>
      <c r="AC130" s="294"/>
      <c r="AD130" s="294"/>
      <c r="AE130" s="294"/>
      <c r="AF130" s="294"/>
      <c r="AG130" s="294"/>
      <c r="AH130" s="294"/>
      <c r="AI130" s="294"/>
      <c r="AJ130" s="294"/>
      <c r="AK130" s="294"/>
      <c r="AL130" s="294"/>
      <c r="AM130" s="294"/>
      <c r="AN130" s="295"/>
      <c r="AO130" s="295"/>
      <c r="AP130" s="295"/>
      <c r="AQ130" s="295"/>
      <c r="AR130" s="295"/>
      <c r="AS130" s="295"/>
      <c r="AT130" s="295"/>
      <c r="AU130" s="295"/>
      <c r="AV130" s="295"/>
      <c r="AW130" s="295"/>
      <c r="AX130" s="295"/>
      <c r="AY130" s="295"/>
      <c r="AZ130" s="295"/>
      <c r="BA130" s="295"/>
      <c r="BB130" s="295"/>
      <c r="BC130" s="295"/>
      <c r="BD130" s="295"/>
      <c r="BE130" s="295"/>
    </row>
    <row r="131" spans="2:57" s="30" customFormat="1" ht="15" x14ac:dyDescent="0.2">
      <c r="C131" s="33"/>
      <c r="D131" s="81"/>
      <c r="G131" s="33"/>
      <c r="H131" s="81"/>
      <c r="J131" s="32"/>
      <c r="K131" s="33"/>
      <c r="L131" s="33"/>
      <c r="M131" s="81"/>
      <c r="N131" s="81"/>
      <c r="O131" s="81"/>
      <c r="Q131" s="34"/>
      <c r="R131" s="102"/>
      <c r="S131" s="35"/>
      <c r="T131" s="43"/>
      <c r="U131" s="43"/>
      <c r="V131" s="43"/>
      <c r="W131" s="43"/>
      <c r="X131" s="43"/>
      <c r="Y131" s="43"/>
      <c r="Z131" s="43"/>
      <c r="AA131" s="43"/>
      <c r="AB131" s="43"/>
      <c r="AC131" s="43"/>
      <c r="AD131" s="43"/>
      <c r="AE131" s="35"/>
      <c r="AF131" s="35"/>
      <c r="AG131" s="35"/>
      <c r="AH131" s="35"/>
      <c r="AI131" s="35"/>
      <c r="AJ131" s="35"/>
      <c r="AK131" s="35"/>
      <c r="AL131" s="35"/>
      <c r="AM131" s="35"/>
      <c r="AN131" s="36"/>
      <c r="AO131" s="36"/>
      <c r="AP131" s="36"/>
      <c r="AQ131" s="36"/>
      <c r="AR131" s="36"/>
      <c r="AS131" s="36"/>
      <c r="AT131" s="36"/>
      <c r="AU131" s="36"/>
      <c r="AV131" s="36"/>
      <c r="AW131" s="36"/>
      <c r="AX131" s="36"/>
      <c r="AY131" s="36"/>
      <c r="AZ131" s="36"/>
      <c r="BA131" s="36"/>
      <c r="BB131" s="36"/>
      <c r="BC131" s="36"/>
      <c r="BD131" s="36"/>
      <c r="BE131" s="36"/>
    </row>
    <row r="132" spans="2:57" s="30" customFormat="1" ht="15" x14ac:dyDescent="0.2">
      <c r="B132" s="160" t="s">
        <v>303</v>
      </c>
      <c r="C132" s="33"/>
      <c r="D132" s="81"/>
      <c r="G132" s="33"/>
      <c r="H132" s="81"/>
      <c r="K132" s="37"/>
      <c r="L132" s="37"/>
      <c r="M132" s="81"/>
      <c r="N132" s="81"/>
      <c r="O132" s="249" t="s">
        <v>584</v>
      </c>
      <c r="Q132" s="34"/>
      <c r="R132" s="102"/>
      <c r="S132" s="35"/>
      <c r="T132" s="43"/>
      <c r="U132" s="43"/>
      <c r="V132" s="43"/>
      <c r="W132" s="43"/>
      <c r="X132" s="43"/>
      <c r="Y132" s="43"/>
      <c r="Z132" s="43"/>
      <c r="AA132" s="43"/>
      <c r="AB132" s="43"/>
      <c r="AC132" s="43"/>
      <c r="AD132" s="43"/>
      <c r="AE132" s="35"/>
      <c r="AF132" s="35"/>
      <c r="AG132" s="35"/>
      <c r="AH132" s="35"/>
      <c r="AI132" s="35"/>
      <c r="AJ132" s="35"/>
      <c r="AK132" s="35"/>
      <c r="AL132" s="35"/>
      <c r="AM132" s="35"/>
      <c r="AN132" s="36"/>
      <c r="AO132" s="36"/>
      <c r="AP132" s="36"/>
      <c r="AQ132" s="36"/>
      <c r="AR132" s="36"/>
      <c r="AS132" s="36"/>
      <c r="AT132" s="36"/>
      <c r="AU132" s="36"/>
      <c r="AV132" s="36"/>
      <c r="AW132" s="36"/>
      <c r="AX132" s="36"/>
      <c r="AY132" s="36"/>
      <c r="AZ132" s="36"/>
      <c r="BA132" s="36"/>
      <c r="BB132" s="36"/>
      <c r="BC132" s="36"/>
      <c r="BD132" s="36"/>
      <c r="BE132" s="36"/>
    </row>
    <row r="133" spans="2:57" s="30" customFormat="1" ht="60" x14ac:dyDescent="0.2">
      <c r="B133" s="76" t="s">
        <v>694</v>
      </c>
      <c r="C133" s="474" t="s">
        <v>110</v>
      </c>
      <c r="D133" s="474"/>
      <c r="E133" s="33"/>
      <c r="F133" s="33"/>
      <c r="G133" s="37" t="str">
        <f>IF(C133="Muu tuote tai materiaali","Muun tuotteen tai materiaalin määrän yksikkö","")</f>
        <v/>
      </c>
      <c r="H133" s="81"/>
      <c r="K133" s="37" t="s">
        <v>692</v>
      </c>
      <c r="L133" s="37" t="s">
        <v>185</v>
      </c>
      <c r="M133" s="81" t="s">
        <v>287</v>
      </c>
      <c r="N133" s="81"/>
      <c r="O133" s="250"/>
      <c r="Q133" s="34"/>
      <c r="R133" s="43" t="s">
        <v>318</v>
      </c>
      <c r="S133" s="35"/>
      <c r="T133" s="220"/>
      <c r="U133" s="43"/>
      <c r="V133" s="43"/>
      <c r="W133" s="43"/>
      <c r="X133" s="43"/>
      <c r="Y133" s="43"/>
      <c r="Z133" s="43"/>
      <c r="AA133" s="43"/>
      <c r="AB133" s="43"/>
      <c r="AC133" s="43"/>
      <c r="AD133" s="43"/>
      <c r="AE133" s="35"/>
      <c r="AF133" s="35"/>
      <c r="AG133" s="35"/>
      <c r="AH133" s="35"/>
      <c r="AI133" s="35"/>
      <c r="AJ133" s="35"/>
      <c r="AK133" s="35"/>
      <c r="AL133" s="35"/>
      <c r="AM133" s="35"/>
      <c r="AN133" s="36"/>
      <c r="AO133" s="36"/>
      <c r="AP133" s="36"/>
      <c r="AQ133" s="36"/>
      <c r="AR133" s="36"/>
      <c r="AS133" s="36"/>
      <c r="AT133" s="36"/>
      <c r="AU133" s="36"/>
      <c r="AV133" s="36"/>
      <c r="AW133" s="36"/>
      <c r="AX133" s="36"/>
      <c r="AY133" s="36"/>
      <c r="AZ133" s="36"/>
      <c r="BA133" s="36"/>
      <c r="BB133" s="36"/>
      <c r="BC133" s="36"/>
      <c r="BD133" s="36"/>
      <c r="BE133" s="36"/>
    </row>
    <row r="134" spans="2:57" s="30" customFormat="1" ht="15" x14ac:dyDescent="0.2">
      <c r="B134" s="52" t="s">
        <v>547</v>
      </c>
      <c r="C134" s="386"/>
      <c r="D134" s="81" t="str">
        <f>IFERROR(VLOOKUP(C133,Materiaalit!$C$33:$D$46,2,FALSE),"Yksikkö")</f>
        <v>Yksikkö</v>
      </c>
      <c r="E134" s="33"/>
      <c r="F134" s="33"/>
      <c r="G134" s="41"/>
      <c r="H134" s="81"/>
      <c r="J134" s="32" t="s">
        <v>332</v>
      </c>
      <c r="K134" s="92" t="str">
        <f>IFERROR(IF(ISNUMBER(L134),L134,VLOOKUP(C133,Materiaalit!$C$33:$G$46,5,FALSE)),"--")</f>
        <v>--</v>
      </c>
      <c r="L134" s="39"/>
      <c r="M134" s="396" t="str">
        <f>IF(D134="Yksikkö","--",IF(AND(D134="Oma yksikkö",ISBLANK(G134)),"Puuttuu",IF(AND(D134="Oma yksikkö",NOT(ISBLANK(G134))),"kgCO2e/" &amp; G134,"kgCO2e/" &amp; D134)))</f>
        <v>--</v>
      </c>
      <c r="N134" s="41"/>
      <c r="O134" s="261"/>
      <c r="Q134" s="34"/>
      <c r="R134" s="213" t="str">
        <f>IF(AND(ISNUMBER(C134),ISNUMBER(K134)),C134*K134,"")</f>
        <v/>
      </c>
      <c r="S134" s="98" t="s">
        <v>160</v>
      </c>
      <c r="T134" s="220"/>
      <c r="U134" s="43"/>
      <c r="V134" s="43"/>
      <c r="W134" s="43"/>
      <c r="X134" s="43"/>
      <c r="Y134" s="43"/>
      <c r="Z134" s="43"/>
      <c r="AA134" s="43"/>
      <c r="AB134" s="43"/>
      <c r="AC134" s="43"/>
      <c r="AD134" s="43"/>
      <c r="AE134" s="35"/>
      <c r="AF134" s="35"/>
      <c r="AG134" s="35"/>
      <c r="AH134" s="35"/>
      <c r="AI134" s="35"/>
      <c r="AJ134" s="35"/>
      <c r="AK134" s="35"/>
      <c r="AL134" s="35"/>
      <c r="AM134" s="35"/>
      <c r="AN134" s="36"/>
      <c r="AO134" s="36"/>
      <c r="AP134" s="36"/>
      <c r="AQ134" s="36"/>
      <c r="AR134" s="36"/>
      <c r="AS134" s="36"/>
      <c r="AT134" s="36"/>
      <c r="AU134" s="36"/>
      <c r="AV134" s="36"/>
      <c r="AW134" s="36"/>
      <c r="AX134" s="36"/>
      <c r="AY134" s="36"/>
      <c r="AZ134" s="36"/>
      <c r="BA134" s="36"/>
      <c r="BB134" s="36"/>
      <c r="BC134" s="36"/>
      <c r="BD134" s="36"/>
      <c r="BE134" s="36"/>
    </row>
    <row r="135" spans="2:57" s="30" customFormat="1" ht="15" x14ac:dyDescent="0.2">
      <c r="B135" s="160" t="s">
        <v>304</v>
      </c>
      <c r="C135" s="33"/>
      <c r="D135" s="81"/>
      <c r="E135" s="33"/>
      <c r="F135" s="33"/>
      <c r="G135" s="33"/>
      <c r="H135" s="81"/>
      <c r="J135" s="32"/>
      <c r="K135" s="37"/>
      <c r="L135" s="37"/>
      <c r="M135" s="37"/>
      <c r="N135" s="37"/>
      <c r="O135" s="262"/>
      <c r="Q135" s="34"/>
      <c r="R135" s="216"/>
      <c r="S135" s="35"/>
      <c r="T135" s="220"/>
      <c r="U135" s="43"/>
      <c r="V135" s="43"/>
      <c r="W135" s="43"/>
      <c r="X135" s="43"/>
      <c r="Y135" s="43"/>
      <c r="Z135" s="43"/>
      <c r="AA135" s="43"/>
      <c r="AB135" s="43"/>
      <c r="AC135" s="43"/>
      <c r="AD135" s="43"/>
      <c r="AE135" s="35"/>
      <c r="AF135" s="35"/>
      <c r="AG135" s="35"/>
      <c r="AH135" s="35"/>
      <c r="AI135" s="35"/>
      <c r="AJ135" s="35"/>
      <c r="AK135" s="35"/>
      <c r="AL135" s="35"/>
      <c r="AM135" s="35"/>
      <c r="AN135" s="36"/>
      <c r="AO135" s="36"/>
      <c r="AP135" s="36"/>
      <c r="AQ135" s="36"/>
      <c r="AR135" s="36"/>
      <c r="AS135" s="36"/>
      <c r="AT135" s="36"/>
      <c r="AU135" s="36"/>
      <c r="AV135" s="36"/>
      <c r="AW135" s="36"/>
      <c r="AX135" s="36"/>
      <c r="AY135" s="36"/>
      <c r="AZ135" s="36"/>
      <c r="BA135" s="36"/>
      <c r="BB135" s="36"/>
      <c r="BC135" s="36"/>
      <c r="BD135" s="36"/>
      <c r="BE135" s="36"/>
    </row>
    <row r="136" spans="2:57" s="30" customFormat="1" ht="60" x14ac:dyDescent="0.2">
      <c r="B136" s="76" t="s">
        <v>694</v>
      </c>
      <c r="C136" s="474" t="s">
        <v>110</v>
      </c>
      <c r="D136" s="474"/>
      <c r="E136" s="33"/>
      <c r="F136" s="33"/>
      <c r="G136" s="37" t="str">
        <f>IF(C136="Muu tuote tai materiaali","Muun tuotteen tai materiaalin määrän yksikkö","")</f>
        <v/>
      </c>
      <c r="H136" s="81"/>
      <c r="J136" s="32"/>
      <c r="K136" s="37" t="s">
        <v>692</v>
      </c>
      <c r="L136" s="37" t="s">
        <v>185</v>
      </c>
      <c r="M136" s="37" t="s">
        <v>287</v>
      </c>
      <c r="N136" s="37"/>
      <c r="O136" s="262"/>
      <c r="Q136" s="34"/>
      <c r="R136" s="43" t="s">
        <v>318</v>
      </c>
      <c r="S136" s="35"/>
      <c r="T136" s="220"/>
      <c r="U136" s="43"/>
      <c r="V136" s="43"/>
      <c r="W136" s="43"/>
      <c r="X136" s="43"/>
      <c r="Y136" s="43"/>
      <c r="Z136" s="43"/>
      <c r="AA136" s="43"/>
      <c r="AB136" s="43"/>
      <c r="AC136" s="43"/>
      <c r="AD136" s="43"/>
      <c r="AE136" s="35"/>
      <c r="AF136" s="35"/>
      <c r="AG136" s="35"/>
      <c r="AH136" s="35"/>
      <c r="AI136" s="35"/>
      <c r="AJ136" s="35"/>
      <c r="AK136" s="35"/>
      <c r="AL136" s="35"/>
      <c r="AM136" s="35"/>
      <c r="AN136" s="36"/>
      <c r="AO136" s="36"/>
      <c r="AP136" s="36"/>
      <c r="AQ136" s="36"/>
      <c r="AR136" s="36"/>
      <c r="AS136" s="36"/>
      <c r="AT136" s="36"/>
      <c r="AU136" s="36"/>
      <c r="AV136" s="36"/>
      <c r="AW136" s="36"/>
      <c r="AX136" s="36"/>
      <c r="AY136" s="36"/>
      <c r="AZ136" s="36"/>
      <c r="BA136" s="36"/>
      <c r="BB136" s="36"/>
      <c r="BC136" s="36"/>
      <c r="BD136" s="36"/>
      <c r="BE136" s="36"/>
    </row>
    <row r="137" spans="2:57" s="30" customFormat="1" ht="15" x14ac:dyDescent="0.2">
      <c r="B137" s="52" t="s">
        <v>547</v>
      </c>
      <c r="C137" s="152"/>
      <c r="D137" s="81" t="str">
        <f>IFERROR(VLOOKUP(C136,Materiaalit!$C$33:$D$46,2,FALSE),"Yksikkö")</f>
        <v>Yksikkö</v>
      </c>
      <c r="E137" s="33"/>
      <c r="F137" s="33"/>
      <c r="G137" s="41"/>
      <c r="H137" s="81"/>
      <c r="J137" s="32" t="s">
        <v>332</v>
      </c>
      <c r="K137" s="92" t="str">
        <f>IFERROR(IF(ISNUMBER(L137),L137,VLOOKUP(C136,Materiaalit!$C$33:$G$46,5,FALSE)),"--")</f>
        <v>--</v>
      </c>
      <c r="L137" s="39"/>
      <c r="M137" s="396" t="str">
        <f>IF(D137="Yksikkö","--",IF(AND(D137="Oma yksikkö",ISBLANK(G137)),"Puuttuu",IF(AND(D137="Oma yksikkö",NOT(ISBLANK(G137))),"kgCO2e/" &amp; G137,"kgCO2e/" &amp; D137)))</f>
        <v>--</v>
      </c>
      <c r="N137" s="41"/>
      <c r="O137" s="261"/>
      <c r="Q137" s="34"/>
      <c r="R137" s="213" t="str">
        <f>IF(AND(ISNUMBER(C137),ISNUMBER(K137)),C137*K137,"")</f>
        <v/>
      </c>
      <c r="S137" s="98" t="s">
        <v>160</v>
      </c>
      <c r="T137" s="220"/>
      <c r="U137" s="43"/>
      <c r="V137" s="43"/>
      <c r="W137" s="43"/>
      <c r="X137" s="43"/>
      <c r="Y137" s="43"/>
      <c r="Z137" s="43"/>
      <c r="AA137" s="43"/>
      <c r="AB137" s="43"/>
      <c r="AC137" s="43"/>
      <c r="AD137" s="43"/>
      <c r="AE137" s="35"/>
      <c r="AF137" s="35"/>
      <c r="AG137" s="35"/>
      <c r="AH137" s="35"/>
      <c r="AI137" s="35"/>
      <c r="AJ137" s="35"/>
      <c r="AK137" s="35"/>
      <c r="AL137" s="35"/>
      <c r="AM137" s="35"/>
      <c r="AN137" s="36"/>
      <c r="AO137" s="36"/>
      <c r="AP137" s="36"/>
      <c r="AQ137" s="36"/>
      <c r="AR137" s="36"/>
      <c r="AS137" s="36"/>
      <c r="AT137" s="36"/>
      <c r="AU137" s="36"/>
      <c r="AV137" s="36"/>
      <c r="AW137" s="36"/>
      <c r="AX137" s="36"/>
      <c r="AY137" s="36"/>
      <c r="AZ137" s="36"/>
      <c r="BA137" s="36"/>
      <c r="BB137" s="36"/>
      <c r="BC137" s="36"/>
      <c r="BD137" s="36"/>
      <c r="BE137" s="36"/>
    </row>
    <row r="138" spans="2:57" s="30" customFormat="1" ht="15" x14ac:dyDescent="0.2">
      <c r="B138" s="160" t="s">
        <v>305</v>
      </c>
      <c r="C138" s="33"/>
      <c r="D138" s="81"/>
      <c r="E138" s="33"/>
      <c r="F138" s="33"/>
      <c r="G138" s="33"/>
      <c r="H138" s="81"/>
      <c r="J138" s="32"/>
      <c r="K138" s="37"/>
      <c r="L138" s="37"/>
      <c r="M138" s="37"/>
      <c r="N138" s="37"/>
      <c r="O138" s="262"/>
      <c r="Q138" s="34"/>
      <c r="R138" s="216"/>
      <c r="S138" s="35"/>
      <c r="T138" s="220"/>
      <c r="U138" s="43"/>
      <c r="V138" s="43"/>
      <c r="W138" s="43"/>
      <c r="X138" s="43"/>
      <c r="Y138" s="43"/>
      <c r="Z138" s="43"/>
      <c r="AA138" s="43"/>
      <c r="AB138" s="43"/>
      <c r="AC138" s="43"/>
      <c r="AD138" s="43"/>
      <c r="AE138" s="35"/>
      <c r="AF138" s="35"/>
      <c r="AG138" s="35"/>
      <c r="AH138" s="35"/>
      <c r="AI138" s="35"/>
      <c r="AJ138" s="35"/>
      <c r="AK138" s="35"/>
      <c r="AL138" s="35"/>
      <c r="AM138" s="35"/>
      <c r="AN138" s="36"/>
      <c r="AO138" s="36"/>
      <c r="AP138" s="36"/>
      <c r="AQ138" s="36"/>
      <c r="AR138" s="36"/>
      <c r="AS138" s="36"/>
      <c r="AT138" s="36"/>
      <c r="AU138" s="36"/>
      <c r="AV138" s="36"/>
      <c r="AW138" s="36"/>
      <c r="AX138" s="36"/>
      <c r="AY138" s="36"/>
      <c r="AZ138" s="36"/>
      <c r="BA138" s="36"/>
      <c r="BB138" s="36"/>
      <c r="BC138" s="36"/>
      <c r="BD138" s="36"/>
      <c r="BE138" s="36"/>
    </row>
    <row r="139" spans="2:57" s="30" customFormat="1" ht="60" x14ac:dyDescent="0.2">
      <c r="B139" s="76" t="s">
        <v>694</v>
      </c>
      <c r="C139" s="474" t="s">
        <v>110</v>
      </c>
      <c r="D139" s="474"/>
      <c r="E139" s="33"/>
      <c r="F139" s="33"/>
      <c r="G139" s="37" t="str">
        <f>IF(C139="Muu tuote tai materiaali","Muun tuotteen tai materiaalin määrän yksikkö","")</f>
        <v/>
      </c>
      <c r="H139" s="81"/>
      <c r="J139" s="32"/>
      <c r="K139" s="37" t="s">
        <v>692</v>
      </c>
      <c r="L139" s="37" t="s">
        <v>185</v>
      </c>
      <c r="M139" s="37" t="s">
        <v>287</v>
      </c>
      <c r="N139" s="37"/>
      <c r="O139" s="262"/>
      <c r="Q139" s="34"/>
      <c r="R139" s="43" t="s">
        <v>318</v>
      </c>
      <c r="S139" s="35"/>
      <c r="T139" s="220"/>
      <c r="U139" s="43"/>
      <c r="V139" s="43"/>
      <c r="W139" s="43"/>
      <c r="X139" s="43"/>
      <c r="Y139" s="43"/>
      <c r="Z139" s="43"/>
      <c r="AA139" s="43"/>
      <c r="AB139" s="43"/>
      <c r="AC139" s="43"/>
      <c r="AD139" s="43"/>
      <c r="AE139" s="35"/>
      <c r="AF139" s="35"/>
      <c r="AG139" s="35"/>
      <c r="AH139" s="35"/>
      <c r="AI139" s="35"/>
      <c r="AJ139" s="35"/>
      <c r="AK139" s="35"/>
      <c r="AL139" s="35"/>
      <c r="AM139" s="35"/>
      <c r="AN139" s="36"/>
      <c r="AO139" s="36"/>
      <c r="AP139" s="36"/>
      <c r="AQ139" s="36"/>
      <c r="AR139" s="36"/>
      <c r="AS139" s="36"/>
      <c r="AT139" s="36"/>
      <c r="AU139" s="36"/>
      <c r="AV139" s="36"/>
      <c r="AW139" s="36"/>
      <c r="AX139" s="36"/>
      <c r="AY139" s="36"/>
      <c r="AZ139" s="36"/>
      <c r="BA139" s="36"/>
      <c r="BB139" s="36"/>
      <c r="BC139" s="36"/>
      <c r="BD139" s="36"/>
      <c r="BE139" s="36"/>
    </row>
    <row r="140" spans="2:57" s="30" customFormat="1" ht="15" x14ac:dyDescent="0.2">
      <c r="B140" s="52" t="s">
        <v>547</v>
      </c>
      <c r="C140" s="152"/>
      <c r="D140" s="81" t="str">
        <f>IFERROR(VLOOKUP(C139,Materiaalit!$C$33:$D$46,2,FALSE),"Yksikkö")</f>
        <v>Yksikkö</v>
      </c>
      <c r="E140" s="33"/>
      <c r="F140" s="33"/>
      <c r="G140" s="41"/>
      <c r="H140" s="81"/>
      <c r="J140" s="32" t="s">
        <v>332</v>
      </c>
      <c r="K140" s="92" t="str">
        <f>IFERROR(IF(ISNUMBER(L140),L140,VLOOKUP(C139,Materiaalit!$C$33:$G$46,5,FALSE)),"--")</f>
        <v>--</v>
      </c>
      <c r="L140" s="39"/>
      <c r="M140" s="396" t="str">
        <f>IF(D140="Yksikkö","--",IF(AND(D140="Oma yksikkö",ISBLANK(G140)),"Puuttuu",IF(AND(D140="Oma yksikkö",NOT(ISBLANK(G140))),"kgCO2e/" &amp; G140,"kgCO2e/" &amp; D140)))</f>
        <v>--</v>
      </c>
      <c r="N140" s="41"/>
      <c r="O140" s="261"/>
      <c r="Q140" s="34"/>
      <c r="R140" s="213" t="str">
        <f>IF(AND(ISNUMBER(C140),ISNUMBER(K140)),C140*K140,"")</f>
        <v/>
      </c>
      <c r="S140" s="98" t="s">
        <v>160</v>
      </c>
      <c r="T140" s="220"/>
      <c r="U140" s="43"/>
      <c r="V140" s="43"/>
      <c r="W140" s="43"/>
      <c r="X140" s="43"/>
      <c r="Y140" s="43"/>
      <c r="Z140" s="43"/>
      <c r="AA140" s="43"/>
      <c r="AB140" s="43"/>
      <c r="AC140" s="43"/>
      <c r="AD140" s="43"/>
      <c r="AE140" s="35"/>
      <c r="AF140" s="35"/>
      <c r="AG140" s="35"/>
      <c r="AH140" s="35"/>
      <c r="AI140" s="35"/>
      <c r="AJ140" s="35"/>
      <c r="AK140" s="35"/>
      <c r="AL140" s="35"/>
      <c r="AM140" s="35"/>
      <c r="AN140" s="36"/>
      <c r="AO140" s="36"/>
      <c r="AP140" s="36"/>
      <c r="AQ140" s="36"/>
      <c r="AR140" s="36"/>
      <c r="AS140" s="36"/>
      <c r="AT140" s="36"/>
      <c r="AU140" s="36"/>
      <c r="AV140" s="36"/>
      <c r="AW140" s="36"/>
      <c r="AX140" s="36"/>
      <c r="AY140" s="36"/>
      <c r="AZ140" s="36"/>
      <c r="BA140" s="36"/>
      <c r="BB140" s="36"/>
      <c r="BC140" s="36"/>
      <c r="BD140" s="36"/>
      <c r="BE140" s="36"/>
    </row>
    <row r="141" spans="2:57" s="30" customFormat="1" ht="15" x14ac:dyDescent="0.2">
      <c r="B141" s="160" t="s">
        <v>306</v>
      </c>
      <c r="C141" s="33"/>
      <c r="D141" s="81"/>
      <c r="E141" s="33"/>
      <c r="F141" s="33"/>
      <c r="G141" s="33"/>
      <c r="H141" s="81"/>
      <c r="J141" s="32"/>
      <c r="K141" s="37"/>
      <c r="L141" s="37"/>
      <c r="M141" s="37"/>
      <c r="N141" s="37"/>
      <c r="O141" s="262"/>
      <c r="Q141" s="34"/>
      <c r="R141" s="216"/>
      <c r="S141" s="35"/>
      <c r="T141" s="220"/>
      <c r="U141" s="43"/>
      <c r="V141" s="43"/>
      <c r="W141" s="43"/>
      <c r="X141" s="43"/>
      <c r="Y141" s="43"/>
      <c r="Z141" s="43"/>
      <c r="AA141" s="43"/>
      <c r="AB141" s="43"/>
      <c r="AC141" s="43"/>
      <c r="AD141" s="43"/>
      <c r="AE141" s="35"/>
      <c r="AF141" s="35"/>
      <c r="AG141" s="35"/>
      <c r="AH141" s="35"/>
      <c r="AI141" s="35"/>
      <c r="AJ141" s="35"/>
      <c r="AK141" s="35"/>
      <c r="AL141" s="35"/>
      <c r="AM141" s="35"/>
      <c r="AN141" s="36"/>
      <c r="AO141" s="36"/>
      <c r="AP141" s="36"/>
      <c r="AQ141" s="36"/>
      <c r="AR141" s="36"/>
      <c r="AS141" s="36"/>
      <c r="AT141" s="36"/>
      <c r="AU141" s="36"/>
      <c r="AV141" s="36"/>
      <c r="AW141" s="36"/>
      <c r="AX141" s="36"/>
      <c r="AY141" s="36"/>
      <c r="AZ141" s="36"/>
      <c r="BA141" s="36"/>
      <c r="BB141" s="36"/>
      <c r="BC141" s="36"/>
      <c r="BD141" s="36"/>
      <c r="BE141" s="36"/>
    </row>
    <row r="142" spans="2:57" s="30" customFormat="1" ht="60" x14ac:dyDescent="0.2">
      <c r="B142" s="76" t="s">
        <v>694</v>
      </c>
      <c r="C142" s="474" t="s">
        <v>110</v>
      </c>
      <c r="D142" s="474"/>
      <c r="E142" s="33"/>
      <c r="F142" s="33"/>
      <c r="G142" s="37" t="str">
        <f>IF(C142="Muu tuote tai materiaali","Muun tuotteen tai materiaalin määrän yksikkö","")</f>
        <v/>
      </c>
      <c r="H142" s="81"/>
      <c r="J142" s="32"/>
      <c r="K142" s="37" t="s">
        <v>692</v>
      </c>
      <c r="L142" s="37" t="s">
        <v>185</v>
      </c>
      <c r="M142" s="37" t="s">
        <v>287</v>
      </c>
      <c r="N142" s="37"/>
      <c r="O142" s="262"/>
      <c r="Q142" s="34"/>
      <c r="R142" s="43" t="s">
        <v>318</v>
      </c>
      <c r="S142" s="35"/>
      <c r="T142" s="220"/>
      <c r="U142" s="43"/>
      <c r="V142" s="43"/>
      <c r="W142" s="43"/>
      <c r="X142" s="43"/>
      <c r="Y142" s="43"/>
      <c r="Z142" s="43"/>
      <c r="AA142" s="43"/>
      <c r="AB142" s="43"/>
      <c r="AC142" s="43"/>
      <c r="AD142" s="43"/>
      <c r="AE142" s="35"/>
      <c r="AF142" s="35"/>
      <c r="AG142" s="35"/>
      <c r="AH142" s="35"/>
      <c r="AI142" s="35"/>
      <c r="AJ142" s="35"/>
      <c r="AK142" s="35"/>
      <c r="AL142" s="35"/>
      <c r="AM142" s="35"/>
      <c r="AN142" s="36"/>
      <c r="AO142" s="36"/>
      <c r="AP142" s="36"/>
      <c r="AQ142" s="36"/>
      <c r="AR142" s="36"/>
      <c r="AS142" s="36"/>
      <c r="AT142" s="36"/>
      <c r="AU142" s="36"/>
      <c r="AV142" s="36"/>
      <c r="AW142" s="36"/>
      <c r="AX142" s="36"/>
      <c r="AY142" s="36"/>
      <c r="AZ142" s="36"/>
      <c r="BA142" s="36"/>
      <c r="BB142" s="36"/>
      <c r="BC142" s="36"/>
      <c r="BD142" s="36"/>
      <c r="BE142" s="36"/>
    </row>
    <row r="143" spans="2:57" s="30" customFormat="1" ht="15" x14ac:dyDescent="0.2">
      <c r="B143" s="52" t="s">
        <v>547</v>
      </c>
      <c r="C143" s="152"/>
      <c r="D143" s="81" t="str">
        <f>IFERROR(VLOOKUP(C142,Materiaalit!$C$33:$D$46,2,FALSE),"Yksikkö")</f>
        <v>Yksikkö</v>
      </c>
      <c r="E143" s="33"/>
      <c r="F143" s="33"/>
      <c r="G143" s="41"/>
      <c r="H143" s="81"/>
      <c r="J143" s="32" t="s">
        <v>332</v>
      </c>
      <c r="K143" s="92" t="str">
        <f>IFERROR(IF(ISNUMBER(L143),L143,VLOOKUP(C142,Materiaalit!$C$33:$G$46,5,FALSE)),"--")</f>
        <v>--</v>
      </c>
      <c r="L143" s="39"/>
      <c r="M143" s="396" t="str">
        <f>IF(D143="Yksikkö","--",IF(AND(D143="Oma yksikkö",ISBLANK(G143)),"Puuttuu",IF(AND(D143="Oma yksikkö",NOT(ISBLANK(G143))),"kgCO2e/" &amp; G143,"kgCO2e/" &amp; D143)))</f>
        <v>--</v>
      </c>
      <c r="N143" s="41"/>
      <c r="O143" s="261"/>
      <c r="Q143" s="34"/>
      <c r="R143" s="213" t="str">
        <f>IF(AND(ISNUMBER(C143),ISNUMBER(K143)),C143*K143,"")</f>
        <v/>
      </c>
      <c r="S143" s="98" t="s">
        <v>160</v>
      </c>
      <c r="T143" s="220"/>
      <c r="U143" s="43"/>
      <c r="V143" s="43"/>
      <c r="W143" s="43"/>
      <c r="X143" s="43"/>
      <c r="Y143" s="43"/>
      <c r="Z143" s="43"/>
      <c r="AA143" s="43"/>
      <c r="AB143" s="43"/>
      <c r="AC143" s="43"/>
      <c r="AD143" s="43"/>
      <c r="AE143" s="35"/>
      <c r="AF143" s="35"/>
      <c r="AG143" s="35"/>
      <c r="AH143" s="35"/>
      <c r="AI143" s="35"/>
      <c r="AJ143" s="35"/>
      <c r="AK143" s="35"/>
      <c r="AL143" s="35"/>
      <c r="AM143" s="35"/>
      <c r="AN143" s="36"/>
      <c r="AO143" s="36"/>
      <c r="AP143" s="36"/>
      <c r="AQ143" s="36"/>
      <c r="AR143" s="36"/>
      <c r="AS143" s="36"/>
      <c r="AT143" s="36"/>
      <c r="AU143" s="36"/>
      <c r="AV143" s="36"/>
      <c r="AW143" s="36"/>
      <c r="AX143" s="36"/>
      <c r="AY143" s="36"/>
      <c r="AZ143" s="36"/>
      <c r="BA143" s="36"/>
      <c r="BB143" s="36"/>
      <c r="BC143" s="36"/>
      <c r="BD143" s="36"/>
      <c r="BE143" s="36"/>
    </row>
    <row r="144" spans="2:57" s="30" customFormat="1" ht="15" x14ac:dyDescent="0.2">
      <c r="B144" s="160" t="s">
        <v>307</v>
      </c>
      <c r="C144" s="33"/>
      <c r="D144" s="81"/>
      <c r="E144" s="33"/>
      <c r="F144" s="33"/>
      <c r="G144" s="33"/>
      <c r="H144" s="81"/>
      <c r="J144" s="32"/>
      <c r="K144" s="37"/>
      <c r="L144" s="37"/>
      <c r="M144" s="37"/>
      <c r="N144" s="37"/>
      <c r="O144" s="262"/>
      <c r="Q144" s="34"/>
      <c r="R144" s="216"/>
      <c r="S144" s="35"/>
      <c r="T144" s="220"/>
      <c r="U144" s="43"/>
      <c r="V144" s="43"/>
      <c r="W144" s="43"/>
      <c r="X144" s="43"/>
      <c r="Y144" s="43"/>
      <c r="Z144" s="43"/>
      <c r="AA144" s="43"/>
      <c r="AB144" s="43"/>
      <c r="AC144" s="43"/>
      <c r="AD144" s="43"/>
      <c r="AE144" s="35"/>
      <c r="AF144" s="35"/>
      <c r="AG144" s="35"/>
      <c r="AH144" s="35"/>
      <c r="AI144" s="35"/>
      <c r="AJ144" s="35"/>
      <c r="AK144" s="35"/>
      <c r="AL144" s="35"/>
      <c r="AM144" s="35"/>
      <c r="AN144" s="36"/>
      <c r="AO144" s="36"/>
      <c r="AP144" s="36"/>
      <c r="AQ144" s="36"/>
      <c r="AR144" s="36"/>
      <c r="AS144" s="36"/>
      <c r="AT144" s="36"/>
      <c r="AU144" s="36"/>
      <c r="AV144" s="36"/>
      <c r="AW144" s="36"/>
      <c r="AX144" s="36"/>
      <c r="AY144" s="36"/>
      <c r="AZ144" s="36"/>
      <c r="BA144" s="36"/>
      <c r="BB144" s="36"/>
      <c r="BC144" s="36"/>
      <c r="BD144" s="36"/>
      <c r="BE144" s="36"/>
    </row>
    <row r="145" spans="2:57" s="30" customFormat="1" ht="60" x14ac:dyDescent="0.2">
      <c r="B145" s="76" t="s">
        <v>694</v>
      </c>
      <c r="C145" s="474" t="s">
        <v>110</v>
      </c>
      <c r="D145" s="474"/>
      <c r="E145" s="33"/>
      <c r="F145" s="33"/>
      <c r="G145" s="37" t="str">
        <f>IF(C145="Muu tuote tai materiaali","Muun tuotteen tai materiaalin määrän yksikkö","")</f>
        <v/>
      </c>
      <c r="H145" s="81"/>
      <c r="J145" s="32"/>
      <c r="K145" s="37" t="s">
        <v>692</v>
      </c>
      <c r="L145" s="37" t="s">
        <v>185</v>
      </c>
      <c r="M145" s="37" t="s">
        <v>287</v>
      </c>
      <c r="N145" s="37"/>
      <c r="O145" s="262"/>
      <c r="Q145" s="34"/>
      <c r="R145" s="43" t="s">
        <v>318</v>
      </c>
      <c r="S145" s="35"/>
      <c r="T145" s="220"/>
      <c r="U145" s="43"/>
      <c r="V145" s="43"/>
      <c r="W145" s="43"/>
      <c r="X145" s="43"/>
      <c r="Y145" s="43"/>
      <c r="Z145" s="43"/>
      <c r="AA145" s="43"/>
      <c r="AB145" s="43"/>
      <c r="AC145" s="43"/>
      <c r="AD145" s="43"/>
      <c r="AE145" s="35"/>
      <c r="AF145" s="35"/>
      <c r="AG145" s="35"/>
      <c r="AH145" s="35"/>
      <c r="AI145" s="35"/>
      <c r="AJ145" s="35"/>
      <c r="AK145" s="35"/>
      <c r="AL145" s="35"/>
      <c r="AM145" s="35"/>
      <c r="AN145" s="36"/>
      <c r="AO145" s="36"/>
      <c r="AP145" s="36"/>
      <c r="AQ145" s="36"/>
      <c r="AR145" s="36"/>
      <c r="AS145" s="36"/>
      <c r="AT145" s="36"/>
      <c r="AU145" s="36"/>
      <c r="AV145" s="36"/>
      <c r="AW145" s="36"/>
      <c r="AX145" s="36"/>
      <c r="AY145" s="36"/>
      <c r="AZ145" s="36"/>
      <c r="BA145" s="36"/>
      <c r="BB145" s="36"/>
      <c r="BC145" s="36"/>
      <c r="BD145" s="36"/>
      <c r="BE145" s="36"/>
    </row>
    <row r="146" spans="2:57" s="30" customFormat="1" ht="15" x14ac:dyDescent="0.2">
      <c r="B146" s="52" t="s">
        <v>547</v>
      </c>
      <c r="C146" s="152"/>
      <c r="D146" s="81" t="str">
        <f>IFERROR(VLOOKUP(C145,Materiaalit!$C$33:$D$46,2,FALSE),"Yksikkö")</f>
        <v>Yksikkö</v>
      </c>
      <c r="E146" s="33"/>
      <c r="F146" s="33"/>
      <c r="G146" s="41"/>
      <c r="H146" s="81"/>
      <c r="J146" s="32" t="s">
        <v>332</v>
      </c>
      <c r="K146" s="92" t="str">
        <f>IFERROR(IF(ISNUMBER(L146),L146,VLOOKUP(C145,Materiaalit!$C$33:$G$46,5,FALSE)),"--")</f>
        <v>--</v>
      </c>
      <c r="L146" s="39"/>
      <c r="M146" s="396" t="str">
        <f>IF(D146="Yksikkö","--",IF(AND(D146="Oma yksikkö",ISBLANK(G146)),"Puuttuu",IF(AND(D146="Oma yksikkö",NOT(ISBLANK(G146))),"kgCO2e/" &amp; G146,"kgCO2e/" &amp; D146)))</f>
        <v>--</v>
      </c>
      <c r="N146" s="41"/>
      <c r="O146" s="261"/>
      <c r="Q146" s="34"/>
      <c r="R146" s="213" t="str">
        <f>IF(AND(ISNUMBER(C146),ISNUMBER(K146)),C146*K146,"")</f>
        <v/>
      </c>
      <c r="S146" s="98" t="s">
        <v>160</v>
      </c>
      <c r="T146" s="220"/>
      <c r="U146" s="43"/>
      <c r="V146" s="43"/>
      <c r="W146" s="43"/>
      <c r="X146" s="43"/>
      <c r="Y146" s="43"/>
      <c r="Z146" s="43"/>
      <c r="AA146" s="43"/>
      <c r="AB146" s="43"/>
      <c r="AC146" s="43"/>
      <c r="AD146" s="43"/>
      <c r="AE146" s="35"/>
      <c r="AF146" s="35"/>
      <c r="AG146" s="35"/>
      <c r="AH146" s="35"/>
      <c r="AI146" s="35"/>
      <c r="AJ146" s="35"/>
      <c r="AK146" s="35"/>
      <c r="AL146" s="35"/>
      <c r="AM146" s="35"/>
      <c r="AN146" s="36"/>
      <c r="AO146" s="36"/>
      <c r="AP146" s="36"/>
      <c r="AQ146" s="36"/>
      <c r="AR146" s="36"/>
      <c r="AS146" s="36"/>
      <c r="AT146" s="36"/>
      <c r="AU146" s="36"/>
      <c r="AV146" s="36"/>
      <c r="AW146" s="36"/>
      <c r="AX146" s="36"/>
      <c r="AY146" s="36"/>
      <c r="AZ146" s="36"/>
      <c r="BA146" s="36"/>
      <c r="BB146" s="36"/>
      <c r="BC146" s="36"/>
      <c r="BD146" s="36"/>
      <c r="BE146" s="36"/>
    </row>
    <row r="147" spans="2:57" s="30" customFormat="1" ht="15" x14ac:dyDescent="0.2">
      <c r="C147" s="33"/>
      <c r="D147" s="81"/>
      <c r="G147" s="33"/>
      <c r="H147" s="81"/>
      <c r="J147" s="32"/>
      <c r="K147" s="33"/>
      <c r="L147" s="33"/>
      <c r="M147" s="81"/>
      <c r="N147" s="81"/>
      <c r="O147" s="81"/>
      <c r="Q147" s="34"/>
      <c r="R147" s="102"/>
      <c r="S147" s="35"/>
      <c r="T147" s="43"/>
      <c r="U147" s="43"/>
      <c r="V147" s="43"/>
      <c r="W147" s="43"/>
      <c r="X147" s="43"/>
      <c r="Y147" s="43"/>
      <c r="Z147" s="43"/>
      <c r="AA147" s="43"/>
      <c r="AB147" s="43"/>
      <c r="AC147" s="43"/>
      <c r="AD147" s="43"/>
      <c r="AE147" s="35"/>
      <c r="AF147" s="35"/>
      <c r="AG147" s="35"/>
      <c r="AH147" s="35"/>
      <c r="AI147" s="35"/>
      <c r="AJ147" s="35"/>
      <c r="AK147" s="35"/>
      <c r="AL147" s="35"/>
      <c r="AM147" s="35"/>
      <c r="AN147" s="36"/>
      <c r="AO147" s="36"/>
      <c r="AP147" s="36"/>
      <c r="AQ147" s="36"/>
      <c r="AR147" s="36"/>
      <c r="AS147" s="36"/>
      <c r="AT147" s="36"/>
      <c r="AU147" s="36"/>
      <c r="AV147" s="36"/>
      <c r="AW147" s="36"/>
      <c r="AX147" s="36"/>
      <c r="AY147" s="36"/>
      <c r="AZ147" s="36"/>
      <c r="BA147" s="36"/>
      <c r="BB147" s="36"/>
      <c r="BC147" s="36"/>
      <c r="BD147" s="36"/>
      <c r="BE147" s="36"/>
    </row>
    <row r="148" spans="2:57" s="289" customFormat="1" ht="18" x14ac:dyDescent="0.2">
      <c r="B148" s="286" t="s">
        <v>590</v>
      </c>
      <c r="C148" s="287"/>
      <c r="D148" s="288"/>
      <c r="G148" s="287"/>
      <c r="H148" s="288"/>
      <c r="K148" s="287"/>
      <c r="L148" s="287"/>
      <c r="M148" s="288"/>
      <c r="N148" s="288"/>
      <c r="O148" s="291"/>
      <c r="P148" s="311"/>
      <c r="Q148" s="295"/>
      <c r="S148" s="294"/>
      <c r="T148" s="294"/>
      <c r="U148" s="294"/>
      <c r="V148" s="294"/>
      <c r="W148" s="294"/>
      <c r="X148" s="294"/>
      <c r="Y148" s="294"/>
      <c r="Z148" s="294"/>
      <c r="AA148" s="294"/>
      <c r="AB148" s="294"/>
      <c r="AC148" s="294"/>
      <c r="AD148" s="294"/>
      <c r="AE148" s="294"/>
      <c r="AF148" s="294"/>
      <c r="AG148" s="294"/>
      <c r="AH148" s="294"/>
      <c r="AI148" s="294"/>
      <c r="AJ148" s="294"/>
      <c r="AK148" s="294"/>
      <c r="AL148" s="294"/>
      <c r="AM148" s="294"/>
      <c r="AN148" s="295"/>
      <c r="AO148" s="295"/>
      <c r="AP148" s="295"/>
      <c r="AQ148" s="295"/>
      <c r="AR148" s="295"/>
      <c r="AS148" s="295"/>
      <c r="AT148" s="295"/>
      <c r="AU148" s="295"/>
      <c r="AV148" s="295"/>
      <c r="AW148" s="295"/>
      <c r="AX148" s="295"/>
      <c r="AY148" s="295"/>
      <c r="AZ148" s="295"/>
      <c r="BA148" s="295"/>
      <c r="BB148" s="295"/>
      <c r="BC148" s="295"/>
      <c r="BD148" s="295"/>
      <c r="BE148" s="295"/>
    </row>
    <row r="149" spans="2:57" s="30" customFormat="1" ht="15.75" x14ac:dyDescent="0.2">
      <c r="B149" s="8"/>
      <c r="C149" s="33"/>
      <c r="D149" s="81"/>
      <c r="G149" s="33"/>
      <c r="H149" s="81"/>
      <c r="J149" s="32"/>
      <c r="K149" s="33"/>
      <c r="L149" s="33"/>
      <c r="M149" s="81"/>
      <c r="N149" s="81"/>
      <c r="O149" s="249" t="s">
        <v>584</v>
      </c>
      <c r="Q149" s="34"/>
      <c r="R149" s="102"/>
      <c r="S149" s="35"/>
      <c r="T149" s="43"/>
      <c r="U149" s="43"/>
      <c r="V149" s="43"/>
      <c r="W149" s="43"/>
      <c r="X149" s="43"/>
      <c r="Y149" s="43"/>
      <c r="Z149" s="43"/>
      <c r="AA149" s="43"/>
      <c r="AB149" s="43"/>
      <c r="AC149" s="43"/>
      <c r="AD149" s="43"/>
      <c r="AE149" s="35"/>
      <c r="AF149" s="35"/>
      <c r="AG149" s="35"/>
      <c r="AH149" s="35"/>
      <c r="AI149" s="35"/>
      <c r="AJ149" s="35"/>
      <c r="AK149" s="35"/>
      <c r="AL149" s="35"/>
      <c r="AM149" s="35"/>
      <c r="AN149" s="36"/>
      <c r="AO149" s="36"/>
      <c r="AP149" s="36"/>
      <c r="AQ149" s="36"/>
      <c r="AR149" s="36"/>
      <c r="AS149" s="36"/>
      <c r="AT149" s="36"/>
      <c r="AU149" s="36"/>
      <c r="AV149" s="36"/>
      <c r="AW149" s="36"/>
      <c r="AX149" s="36"/>
      <c r="AY149" s="36"/>
      <c r="AZ149" s="36"/>
      <c r="BA149" s="36"/>
      <c r="BB149" s="36"/>
      <c r="BC149" s="36"/>
      <c r="BD149" s="36"/>
      <c r="BE149" s="36"/>
    </row>
    <row r="150" spans="2:57" s="30" customFormat="1" ht="45.75" customHeight="1" x14ac:dyDescent="0.2">
      <c r="B150" s="477" t="s">
        <v>516</v>
      </c>
      <c r="C150" s="477"/>
      <c r="D150" s="477"/>
      <c r="E150" s="477"/>
      <c r="F150" s="477"/>
      <c r="G150" s="477"/>
      <c r="H150" s="477"/>
      <c r="J150" s="32"/>
      <c r="K150" s="41"/>
      <c r="L150" s="41"/>
      <c r="M150" s="40"/>
      <c r="N150" s="40"/>
      <c r="O150" s="250"/>
      <c r="Q150" s="34"/>
      <c r="R150" s="216"/>
      <c r="S150" s="98"/>
      <c r="T150" s="43"/>
      <c r="U150" s="43"/>
      <c r="V150" s="43"/>
      <c r="W150" s="43"/>
      <c r="X150" s="43"/>
      <c r="Y150" s="43"/>
      <c r="Z150" s="43"/>
      <c r="AA150" s="43"/>
      <c r="AB150" s="220"/>
      <c r="AC150" s="43"/>
      <c r="AD150" s="43"/>
      <c r="AE150" s="35"/>
      <c r="AF150" s="35"/>
      <c r="AG150" s="35"/>
      <c r="AH150" s="35"/>
      <c r="AI150" s="35"/>
      <c r="AJ150" s="35"/>
      <c r="AK150" s="35"/>
      <c r="AL150" s="35"/>
      <c r="AM150" s="35"/>
      <c r="AN150" s="36"/>
      <c r="AO150" s="36"/>
      <c r="AP150" s="36"/>
      <c r="AQ150" s="36"/>
      <c r="AR150" s="36"/>
      <c r="AS150" s="36"/>
      <c r="AT150" s="36"/>
      <c r="AU150" s="36"/>
      <c r="AV150" s="36"/>
      <c r="AW150" s="36"/>
      <c r="AX150" s="36"/>
      <c r="AY150" s="36"/>
      <c r="AZ150" s="36"/>
      <c r="BA150" s="36"/>
      <c r="BB150" s="36"/>
      <c r="BC150" s="36"/>
      <c r="BD150" s="36"/>
      <c r="BE150" s="36"/>
    </row>
    <row r="151" spans="2:57" s="30" customFormat="1" ht="60.75" customHeight="1" x14ac:dyDescent="0.2">
      <c r="B151" s="477" t="s">
        <v>661</v>
      </c>
      <c r="C151" s="477"/>
      <c r="D151" s="477"/>
      <c r="E151" s="477"/>
      <c r="F151" s="477"/>
      <c r="G151" s="477"/>
      <c r="H151" s="477"/>
      <c r="J151" s="32"/>
      <c r="K151" s="41"/>
      <c r="L151" s="41"/>
      <c r="M151" s="40"/>
      <c r="N151" s="40"/>
      <c r="O151" s="259"/>
      <c r="Q151" s="34"/>
      <c r="R151" s="216"/>
      <c r="S151" s="98"/>
      <c r="T151" s="43"/>
      <c r="U151" s="43"/>
      <c r="V151" s="43"/>
      <c r="W151" s="43"/>
      <c r="X151" s="43"/>
      <c r="Y151" s="43"/>
      <c r="Z151" s="43"/>
      <c r="AA151" s="43"/>
      <c r="AB151" s="220"/>
      <c r="AC151" s="43"/>
      <c r="AD151" s="43"/>
      <c r="AE151" s="35"/>
      <c r="AF151" s="35"/>
      <c r="AG151" s="35"/>
      <c r="AH151" s="35"/>
      <c r="AI151" s="35"/>
      <c r="AJ151" s="35"/>
      <c r="AK151" s="35"/>
      <c r="AL151" s="35"/>
      <c r="AM151" s="35"/>
      <c r="AN151" s="36"/>
      <c r="AO151" s="36"/>
      <c r="AP151" s="36"/>
      <c r="AQ151" s="36"/>
      <c r="AR151" s="36"/>
      <c r="AS151" s="36"/>
      <c r="AT151" s="36"/>
      <c r="AU151" s="36"/>
      <c r="AV151" s="36"/>
      <c r="AW151" s="36"/>
      <c r="AX151" s="36"/>
      <c r="AY151" s="36"/>
      <c r="AZ151" s="36"/>
      <c r="BA151" s="36"/>
      <c r="BB151" s="36"/>
      <c r="BC151" s="36"/>
      <c r="BD151" s="36"/>
      <c r="BE151" s="36"/>
    </row>
    <row r="152" spans="2:57" s="30" customFormat="1" ht="15.75" x14ac:dyDescent="0.2">
      <c r="B152" s="8"/>
      <c r="C152" s="33"/>
      <c r="D152" s="81"/>
      <c r="G152" s="33"/>
      <c r="H152" s="81"/>
      <c r="J152" s="32"/>
      <c r="K152" s="33"/>
      <c r="L152" s="33"/>
      <c r="M152" s="81"/>
      <c r="N152" s="81"/>
      <c r="O152" s="96"/>
      <c r="Q152" s="34"/>
      <c r="R152" s="102"/>
      <c r="S152" s="35"/>
      <c r="T152" s="43"/>
      <c r="U152" s="43"/>
      <c r="V152" s="43"/>
      <c r="W152" s="43"/>
      <c r="X152" s="43"/>
      <c r="Y152" s="43"/>
      <c r="Z152" s="43"/>
      <c r="AA152" s="43"/>
      <c r="AB152" s="43"/>
      <c r="AC152" s="43"/>
      <c r="AD152" s="43"/>
      <c r="AE152" s="35"/>
      <c r="AF152" s="35"/>
      <c r="AG152" s="35"/>
      <c r="AH152" s="35"/>
      <c r="AI152" s="35"/>
      <c r="AJ152" s="35"/>
      <c r="AK152" s="35"/>
      <c r="AL152" s="35"/>
      <c r="AM152" s="35"/>
      <c r="AN152" s="36"/>
      <c r="AO152" s="36"/>
      <c r="AP152" s="36"/>
      <c r="AQ152" s="36"/>
      <c r="AR152" s="36"/>
      <c r="AS152" s="36"/>
      <c r="AT152" s="36"/>
      <c r="AU152" s="36"/>
      <c r="AV152" s="36"/>
      <c r="AW152" s="36"/>
      <c r="AX152" s="36"/>
      <c r="AY152" s="36"/>
      <c r="AZ152" s="36"/>
      <c r="BA152" s="36"/>
      <c r="BB152" s="36"/>
      <c r="BC152" s="36"/>
      <c r="BD152" s="36"/>
      <c r="BE152" s="36"/>
    </row>
    <row r="153" spans="2:57" s="30" customFormat="1" ht="15.75" x14ac:dyDescent="0.2">
      <c r="B153" s="8" t="str">
        <f>B132</f>
        <v>Kemikaali-, tuote- tai materiaalilaji 1</v>
      </c>
      <c r="C153" s="33"/>
      <c r="D153" s="81"/>
      <c r="G153" s="33"/>
      <c r="H153" s="81"/>
      <c r="J153" s="32"/>
      <c r="K153" s="33"/>
      <c r="L153" s="33"/>
      <c r="M153" s="81"/>
      <c r="N153" s="81"/>
      <c r="O153" s="96"/>
      <c r="Q153" s="34"/>
      <c r="R153" s="43" t="s">
        <v>318</v>
      </c>
      <c r="S153" s="35"/>
      <c r="T153" s="43"/>
      <c r="U153" s="43"/>
      <c r="V153" s="43"/>
      <c r="W153" s="43"/>
      <c r="X153" s="43"/>
      <c r="Y153" s="43"/>
      <c r="Z153" s="43"/>
      <c r="AA153" s="43"/>
      <c r="AB153" s="220"/>
      <c r="AC153" s="43"/>
      <c r="AD153" s="43"/>
      <c r="AE153" s="35"/>
      <c r="AF153" s="35"/>
      <c r="AG153" s="35"/>
      <c r="AH153" s="35"/>
      <c r="AI153" s="35"/>
      <c r="AJ153" s="35"/>
      <c r="AK153" s="35"/>
      <c r="AL153" s="35"/>
      <c r="AM153" s="35"/>
      <c r="AN153" s="36"/>
      <c r="AO153" s="36"/>
      <c r="AP153" s="36"/>
      <c r="AQ153" s="36"/>
      <c r="AR153" s="36"/>
      <c r="AS153" s="36"/>
      <c r="AT153" s="36"/>
      <c r="AU153" s="36"/>
      <c r="AV153" s="36"/>
      <c r="AW153" s="36"/>
      <c r="AX153" s="36"/>
      <c r="AY153" s="36"/>
      <c r="AZ153" s="36"/>
      <c r="BA153" s="36"/>
      <c r="BB153" s="36"/>
      <c r="BC153" s="36"/>
      <c r="BD153" s="36"/>
      <c r="BE153" s="36"/>
    </row>
    <row r="154" spans="2:57" s="30" customFormat="1" ht="15" x14ac:dyDescent="0.2">
      <c r="B154" s="52" t="s">
        <v>340</v>
      </c>
      <c r="C154" s="156"/>
      <c r="D154" s="81" t="s">
        <v>252</v>
      </c>
      <c r="G154" s="33" t="s">
        <v>308</v>
      </c>
      <c r="H154" s="81"/>
      <c r="J154" s="32"/>
      <c r="K154" s="37" t="s">
        <v>297</v>
      </c>
      <c r="L154" s="37" t="s">
        <v>185</v>
      </c>
      <c r="M154" s="81"/>
      <c r="N154" s="81"/>
      <c r="O154" s="96"/>
      <c r="Q154" s="34"/>
      <c r="R154" s="213" t="str">
        <f>IF(AND(ISNUMBER(G155),ISNUMBER(C154)),SUM(R155,R158:R160),"")</f>
        <v/>
      </c>
      <c r="S154" s="98" t="s">
        <v>160</v>
      </c>
      <c r="T154" s="43"/>
      <c r="U154" s="43"/>
      <c r="V154" s="43"/>
      <c r="W154" s="43"/>
      <c r="X154" s="43"/>
      <c r="Y154" s="43"/>
      <c r="Z154" s="43"/>
      <c r="AA154" s="43"/>
      <c r="AB154" s="220"/>
      <c r="AC154" s="43"/>
      <c r="AD154" s="43"/>
      <c r="AE154" s="35"/>
      <c r="AF154" s="35"/>
      <c r="AG154" s="35"/>
      <c r="AH154" s="35"/>
      <c r="AI154" s="35"/>
      <c r="AJ154" s="35"/>
      <c r="AK154" s="35"/>
      <c r="AL154" s="35"/>
      <c r="AM154" s="35"/>
      <c r="AN154" s="36"/>
      <c r="AO154" s="36"/>
      <c r="AP154" s="36"/>
      <c r="AQ154" s="36"/>
      <c r="AR154" s="36"/>
      <c r="AS154" s="36"/>
      <c r="AT154" s="36"/>
      <c r="AU154" s="36"/>
      <c r="AV154" s="36"/>
      <c r="AW154" s="36"/>
      <c r="AX154" s="36"/>
      <c r="AY154" s="36"/>
      <c r="AZ154" s="36"/>
      <c r="BA154" s="36"/>
      <c r="BB154" s="36"/>
      <c r="BC154" s="36"/>
      <c r="BD154" s="36"/>
      <c r="BE154" s="36"/>
    </row>
    <row r="155" spans="2:57" s="30" customFormat="1" ht="30" x14ac:dyDescent="0.2">
      <c r="B155" s="151" t="s">
        <v>660</v>
      </c>
      <c r="C155" s="475" t="s">
        <v>253</v>
      </c>
      <c r="D155" s="476"/>
      <c r="G155" s="152"/>
      <c r="H155" s="81" t="s">
        <v>5</v>
      </c>
      <c r="J155" s="169" t="s">
        <v>395</v>
      </c>
      <c r="K155" s="92" t="str">
        <f>IFERROR(IF(ISNUMBER(L155),L155,(VLOOKUP(C156,Kalusto!$C$45:$G$84,5,FALSE)*(VLOOKUP(C157,Muut!$D$40:$E$43,2,FALSE)))),"--")</f>
        <v>--</v>
      </c>
      <c r="L155" s="39"/>
      <c r="M155" s="40" t="s">
        <v>184</v>
      </c>
      <c r="N155" s="40"/>
      <c r="O155" s="259"/>
      <c r="Q155" s="34"/>
      <c r="R155" s="213" t="str">
        <f>IF(ISNUMBER(Y156*X156*K155),Y156*X156*K155,"")</f>
        <v/>
      </c>
      <c r="S155" s="98" t="s">
        <v>160</v>
      </c>
      <c r="T155" s="43" t="s">
        <v>400</v>
      </c>
      <c r="U155" s="43" t="s">
        <v>349</v>
      </c>
      <c r="V155" s="43" t="s">
        <v>397</v>
      </c>
      <c r="W155" s="43" t="s">
        <v>398</v>
      </c>
      <c r="X155" s="43" t="s">
        <v>401</v>
      </c>
      <c r="Y155" s="43" t="s">
        <v>403</v>
      </c>
      <c r="Z155" s="43" t="s">
        <v>339</v>
      </c>
      <c r="AA155" s="43"/>
      <c r="AB155" s="220"/>
      <c r="AC155" s="43"/>
      <c r="AD155" s="43"/>
      <c r="AE155" s="35"/>
      <c r="AF155" s="35"/>
      <c r="AG155" s="35"/>
      <c r="AH155" s="35"/>
      <c r="AI155" s="35"/>
      <c r="AJ155" s="35"/>
      <c r="AK155" s="35"/>
      <c r="AL155" s="35"/>
      <c r="AM155" s="35"/>
      <c r="AN155" s="36"/>
      <c r="AO155" s="36"/>
      <c r="AP155" s="36"/>
      <c r="AQ155" s="36"/>
      <c r="AR155" s="36"/>
      <c r="AS155" s="36"/>
      <c r="AT155" s="36"/>
      <c r="AU155" s="36"/>
      <c r="AV155" s="36"/>
      <c r="AW155" s="36"/>
      <c r="AX155" s="36"/>
      <c r="AY155" s="36"/>
      <c r="AZ155" s="36"/>
      <c r="BA155" s="36"/>
      <c r="BB155" s="36"/>
      <c r="BC155" s="36"/>
      <c r="BD155" s="36"/>
      <c r="BE155" s="36"/>
    </row>
    <row r="156" spans="2:57" s="30" customFormat="1" ht="30" x14ac:dyDescent="0.2">
      <c r="B156" s="76" t="s">
        <v>479</v>
      </c>
      <c r="C156" s="471" t="s">
        <v>298</v>
      </c>
      <c r="D156" s="472"/>
      <c r="E156" s="472"/>
      <c r="F156" s="472"/>
      <c r="G156" s="473"/>
      <c r="J156" s="32"/>
      <c r="K156" s="37"/>
      <c r="L156" s="37"/>
      <c r="M156" s="40"/>
      <c r="N156" s="40"/>
      <c r="O156" s="259"/>
      <c r="Q156" s="45"/>
      <c r="R156" s="220"/>
      <c r="S156" s="35"/>
      <c r="T156" s="211" t="str">
        <f>IFERROR(IF(ISNUMBER(L155),"Kohdetieto",VLOOKUP(C156,Kalusto!$C$45:$L$84,7,FALSE)),"--")</f>
        <v>--</v>
      </c>
      <c r="U156" s="211" t="str">
        <f>IFERROR(IF(ISNUMBER(L155),"Kohdetieto",VLOOKUP(C156,Kalusto!$C$45:$L$84,8,FALSE)),"--")</f>
        <v>--</v>
      </c>
      <c r="V156" s="212" t="str">
        <f>IFERROR(IF(ISNUMBER(L155),"Kohdetieto",VLOOKUP(C156,Kalusto!$C$45:$L$84,9,FALSE)),"--")</f>
        <v>--</v>
      </c>
      <c r="W156" s="212" t="str">
        <f>IFERROR(IF(ISNUMBER(L155),"Kohdetieto",VLOOKUP(C156,Kalusto!$C$45:$L$84,10,FALSE)),"--")</f>
        <v>--</v>
      </c>
      <c r="X156" s="213" t="str">
        <f>IF(ISBLANK(C154),"",C154/1000)</f>
        <v/>
      </c>
      <c r="Y156" s="211" t="str">
        <f>IF(ISNUMBER(G155),G155,"")</f>
        <v/>
      </c>
      <c r="Z156" s="214" t="str">
        <f>IF(ISNUMBER(L155),L155,K155)</f>
        <v>--</v>
      </c>
      <c r="AA156" s="43"/>
      <c r="AB156" s="220"/>
      <c r="AC156" s="43"/>
      <c r="AD156" s="43"/>
      <c r="AE156" s="35"/>
      <c r="AF156" s="35"/>
      <c r="AG156" s="35"/>
      <c r="AH156" s="35"/>
      <c r="AI156" s="35"/>
      <c r="AJ156" s="35"/>
      <c r="AK156" s="35"/>
      <c r="AL156" s="35"/>
      <c r="AM156" s="35"/>
      <c r="AN156" s="36"/>
      <c r="AO156" s="36"/>
      <c r="AP156" s="36"/>
      <c r="AQ156" s="36"/>
      <c r="AR156" s="36"/>
      <c r="AS156" s="36"/>
      <c r="AT156" s="36"/>
      <c r="AU156" s="36"/>
      <c r="AV156" s="36"/>
      <c r="AW156" s="36"/>
      <c r="AX156" s="36"/>
      <c r="AY156" s="36"/>
      <c r="AZ156" s="36"/>
      <c r="BA156" s="36"/>
      <c r="BB156" s="36"/>
      <c r="BC156" s="36"/>
      <c r="BD156" s="36"/>
      <c r="BE156" s="36"/>
    </row>
    <row r="157" spans="2:57" s="30" customFormat="1" ht="15" x14ac:dyDescent="0.2">
      <c r="B157" s="76" t="s">
        <v>457</v>
      </c>
      <c r="C157" s="156" t="s">
        <v>309</v>
      </c>
      <c r="D157" s="33"/>
      <c r="E157" s="33"/>
      <c r="F157" s="33"/>
      <c r="G157" s="33"/>
      <c r="H157" s="57"/>
      <c r="J157" s="169"/>
      <c r="K157" s="37" t="s">
        <v>297</v>
      </c>
      <c r="L157" s="37" t="s">
        <v>185</v>
      </c>
      <c r="M157" s="40"/>
      <c r="N157" s="40"/>
      <c r="O157" s="259"/>
      <c r="Q157" s="45"/>
      <c r="R157" s="43"/>
      <c r="S157" s="35"/>
      <c r="T157" s="43"/>
      <c r="U157" s="43"/>
      <c r="V157" s="215"/>
      <c r="W157" s="215"/>
      <c r="X157" s="216"/>
      <c r="Y157" s="43"/>
      <c r="Z157" s="216"/>
      <c r="AA157" s="217"/>
      <c r="AB157" s="216"/>
      <c r="AC157" s="216"/>
      <c r="AD157" s="216"/>
      <c r="AE157" s="59"/>
      <c r="AF157" s="178"/>
      <c r="AG157" s="59"/>
      <c r="AH157" s="35"/>
      <c r="AI157" s="35"/>
      <c r="AJ157" s="35"/>
      <c r="AK157" s="104"/>
      <c r="AL157" s="35"/>
      <c r="AM157" s="35"/>
      <c r="AN157" s="36"/>
      <c r="AO157" s="36"/>
      <c r="AP157" s="36"/>
      <c r="AQ157" s="36"/>
      <c r="AR157" s="36"/>
      <c r="AS157" s="36"/>
      <c r="AT157" s="36"/>
      <c r="AU157" s="36"/>
      <c r="AV157" s="36"/>
      <c r="AW157" s="36"/>
      <c r="AX157" s="36"/>
      <c r="AY157" s="36"/>
      <c r="AZ157" s="36"/>
      <c r="BA157" s="36"/>
      <c r="BB157" s="36"/>
      <c r="BC157" s="36"/>
      <c r="BD157" s="36"/>
      <c r="BE157" s="36"/>
    </row>
    <row r="158" spans="2:57" s="30" customFormat="1" ht="15" x14ac:dyDescent="0.2">
      <c r="B158" s="151" t="s">
        <v>491</v>
      </c>
      <c r="C158" s="474" t="s">
        <v>739</v>
      </c>
      <c r="D158" s="474"/>
      <c r="E158" s="165"/>
      <c r="G158" s="152"/>
      <c r="H158" s="81" t="s">
        <v>5</v>
      </c>
      <c r="J158" s="32" t="str">
        <f>IFERROR(VLOOKUP(C158,Kalusto!$B$107:$C$110,2,FALSE),"Valitse kuljetustapa")</f>
        <v>Valitse kuljetustapa</v>
      </c>
      <c r="K158" s="92" t="str">
        <f>IFERROR(IF(ISNUMBER(L158),L158,VLOOKUP(J158,Kalusto!$C$107:$G$110,5,FALSE)),"--")</f>
        <v>--</v>
      </c>
      <c r="L158" s="39"/>
      <c r="M158" s="40" t="s">
        <v>184</v>
      </c>
      <c r="N158" s="40"/>
      <c r="O158" s="259"/>
      <c r="Q158" s="34"/>
      <c r="R158" s="213" t="str">
        <f>IF(AND(ISNUMBER(G158)*ISNUMBER(C154)),K158*G158*X156,"")</f>
        <v/>
      </c>
      <c r="S158" s="98" t="s">
        <v>160</v>
      </c>
      <c r="T158" s="43"/>
      <c r="U158" s="43"/>
      <c r="V158" s="43"/>
      <c r="W158" s="43"/>
      <c r="X158" s="43"/>
      <c r="Y158" s="43"/>
      <c r="Z158" s="43"/>
      <c r="AA158" s="43"/>
      <c r="AB158" s="220"/>
      <c r="AC158" s="43"/>
      <c r="AD158" s="43"/>
      <c r="AE158" s="35"/>
      <c r="AF158" s="35"/>
      <c r="AG158" s="35"/>
      <c r="AH158" s="35"/>
      <c r="AI158" s="35"/>
      <c r="AJ158" s="35"/>
      <c r="AK158" s="35"/>
      <c r="AL158" s="35"/>
      <c r="AM158" s="35"/>
      <c r="AN158" s="36"/>
      <c r="AO158" s="36"/>
      <c r="AP158" s="36"/>
      <c r="AQ158" s="36"/>
      <c r="AR158" s="36"/>
      <c r="AS158" s="36"/>
      <c r="AT158" s="36"/>
      <c r="AU158" s="36"/>
      <c r="AV158" s="36"/>
      <c r="AW158" s="36"/>
      <c r="AX158" s="36"/>
      <c r="AY158" s="36"/>
      <c r="AZ158" s="36"/>
      <c r="BA158" s="36"/>
      <c r="BB158" s="36"/>
      <c r="BC158" s="36"/>
      <c r="BD158" s="36"/>
      <c r="BE158" s="36"/>
    </row>
    <row r="159" spans="2:57" s="30" customFormat="1" ht="15" x14ac:dyDescent="0.2">
      <c r="B159" s="151" t="s">
        <v>491</v>
      </c>
      <c r="C159" s="474" t="s">
        <v>739</v>
      </c>
      <c r="D159" s="474"/>
      <c r="E159" s="165"/>
      <c r="G159" s="152"/>
      <c r="H159" s="81" t="s">
        <v>5</v>
      </c>
      <c r="J159" s="32" t="str">
        <f>IFERROR(VLOOKUP(C159,Kalusto!$B$107:$C$110,2,FALSE),"Valitse kuljetustapa")</f>
        <v>Valitse kuljetustapa</v>
      </c>
      <c r="K159" s="92" t="str">
        <f>IFERROR(IF(ISNUMBER(L159),L159,VLOOKUP(J159,Kalusto!$C$107:$G$110,5,FALSE)),"--")</f>
        <v>--</v>
      </c>
      <c r="L159" s="39"/>
      <c r="M159" s="40" t="s">
        <v>184</v>
      </c>
      <c r="N159" s="40"/>
      <c r="O159" s="259"/>
      <c r="Q159" s="34"/>
      <c r="R159" s="213" t="str">
        <f>IF(AND(ISNUMBER(G159)*ISNUMBER(C154)),K159*G159*X156,"")</f>
        <v/>
      </c>
      <c r="S159" s="98" t="s">
        <v>160</v>
      </c>
      <c r="T159" s="43"/>
      <c r="U159" s="43"/>
      <c r="V159" s="43"/>
      <c r="W159" s="43"/>
      <c r="X159" s="43"/>
      <c r="Y159" s="43"/>
      <c r="Z159" s="43"/>
      <c r="AA159" s="43"/>
      <c r="AB159" s="220"/>
      <c r="AC159" s="43"/>
      <c r="AD159" s="43"/>
      <c r="AE159" s="35"/>
      <c r="AF159" s="35"/>
      <c r="AG159" s="35"/>
      <c r="AH159" s="35"/>
      <c r="AI159" s="35"/>
      <c r="AJ159" s="35"/>
      <c r="AK159" s="35"/>
      <c r="AL159" s="35"/>
      <c r="AM159" s="35"/>
      <c r="AN159" s="36"/>
      <c r="AO159" s="36"/>
      <c r="AP159" s="36"/>
      <c r="AQ159" s="36"/>
      <c r="AR159" s="36"/>
      <c r="AS159" s="36"/>
      <c r="AT159" s="36"/>
      <c r="AU159" s="36"/>
      <c r="AV159" s="36"/>
      <c r="AW159" s="36"/>
      <c r="AX159" s="36"/>
      <c r="AY159" s="36"/>
      <c r="AZ159" s="36"/>
      <c r="BA159" s="36"/>
      <c r="BB159" s="36"/>
      <c r="BC159" s="36"/>
      <c r="BD159" s="36"/>
      <c r="BE159" s="36"/>
    </row>
    <row r="160" spans="2:57" s="30" customFormat="1" ht="15" x14ac:dyDescent="0.2">
      <c r="B160" s="151" t="s">
        <v>491</v>
      </c>
      <c r="C160" s="474" t="s">
        <v>739</v>
      </c>
      <c r="D160" s="474"/>
      <c r="E160" s="165"/>
      <c r="G160" s="152"/>
      <c r="H160" s="81" t="s">
        <v>5</v>
      </c>
      <c r="J160" s="32" t="str">
        <f>IFERROR(VLOOKUP(C160,Kalusto!$B$107:$C$110,2,FALSE),"Valitse kuljetustapa")</f>
        <v>Valitse kuljetustapa</v>
      </c>
      <c r="K160" s="92" t="str">
        <f>IFERROR(IF(ISNUMBER(L160),L160,VLOOKUP(J160,Kalusto!$C$107:$G$110,5,FALSE)),"--")</f>
        <v>--</v>
      </c>
      <c r="L160" s="39"/>
      <c r="M160" s="40" t="s">
        <v>184</v>
      </c>
      <c r="N160" s="40"/>
      <c r="O160" s="259"/>
      <c r="Q160" s="34"/>
      <c r="R160" s="213" t="str">
        <f>IF(AND(ISNUMBER(G160)*ISNUMBER(C154)),K160*G160*X156,"")</f>
        <v/>
      </c>
      <c r="S160" s="98" t="s">
        <v>160</v>
      </c>
      <c r="T160" s="43"/>
      <c r="U160" s="43"/>
      <c r="V160" s="43"/>
      <c r="W160" s="43"/>
      <c r="X160" s="43"/>
      <c r="Y160" s="43"/>
      <c r="Z160" s="43"/>
      <c r="AA160" s="43"/>
      <c r="AB160" s="220"/>
      <c r="AC160" s="43"/>
      <c r="AD160" s="43"/>
      <c r="AE160" s="35"/>
      <c r="AF160" s="35"/>
      <c r="AG160" s="35"/>
      <c r="AH160" s="35"/>
      <c r="AI160" s="35"/>
      <c r="AJ160" s="35"/>
      <c r="AK160" s="35"/>
      <c r="AL160" s="35"/>
      <c r="AM160" s="35"/>
      <c r="AN160" s="36"/>
      <c r="AO160" s="36"/>
      <c r="AP160" s="36"/>
      <c r="AQ160" s="36"/>
      <c r="AR160" s="36"/>
      <c r="AS160" s="36"/>
      <c r="AT160" s="36"/>
      <c r="AU160" s="36"/>
      <c r="AV160" s="36"/>
      <c r="AW160" s="36"/>
      <c r="AX160" s="36"/>
      <c r="AY160" s="36"/>
      <c r="AZ160" s="36"/>
      <c r="BA160" s="36"/>
      <c r="BB160" s="36"/>
      <c r="BC160" s="36"/>
      <c r="BD160" s="36"/>
      <c r="BE160" s="36"/>
    </row>
    <row r="161" spans="2:57" s="30" customFormat="1" ht="15.75" x14ac:dyDescent="0.2">
      <c r="B161" s="8" t="str">
        <f>B135</f>
        <v>Kemikaali-, tuote- tai materiaalilaji 2</v>
      </c>
      <c r="C161" s="33"/>
      <c r="D161" s="81"/>
      <c r="G161" s="70"/>
      <c r="H161" s="81"/>
      <c r="J161" s="32"/>
      <c r="K161" s="33"/>
      <c r="L161" s="33"/>
      <c r="M161" s="81"/>
      <c r="N161" s="81"/>
      <c r="O161" s="96"/>
      <c r="Q161" s="34"/>
      <c r="R161" s="43" t="s">
        <v>318</v>
      </c>
      <c r="S161" s="35"/>
      <c r="T161" s="43"/>
      <c r="U161" s="43"/>
      <c r="V161" s="43"/>
      <c r="W161" s="43"/>
      <c r="X161" s="43"/>
      <c r="Y161" s="43"/>
      <c r="Z161" s="43"/>
      <c r="AA161" s="43"/>
      <c r="AB161" s="220"/>
      <c r="AC161" s="43"/>
      <c r="AD161" s="43"/>
      <c r="AE161" s="35"/>
      <c r="AF161" s="35"/>
      <c r="AG161" s="35"/>
      <c r="AH161" s="35"/>
      <c r="AI161" s="35"/>
      <c r="AJ161" s="35"/>
      <c r="AK161" s="35"/>
      <c r="AL161" s="35"/>
      <c r="AM161" s="35"/>
      <c r="AN161" s="36"/>
      <c r="AO161" s="36"/>
      <c r="AP161" s="36"/>
      <c r="AQ161" s="36"/>
      <c r="AR161" s="36"/>
      <c r="AS161" s="36"/>
      <c r="AT161" s="36"/>
      <c r="AU161" s="36"/>
      <c r="AV161" s="36"/>
      <c r="AW161" s="36"/>
      <c r="AX161" s="36"/>
      <c r="AY161" s="36"/>
      <c r="AZ161" s="36"/>
      <c r="BA161" s="36"/>
      <c r="BB161" s="36"/>
      <c r="BC161" s="36"/>
      <c r="BD161" s="36"/>
      <c r="BE161" s="36"/>
    </row>
    <row r="162" spans="2:57" s="30" customFormat="1" ht="15" x14ac:dyDescent="0.2">
      <c r="B162" s="52" t="s">
        <v>340</v>
      </c>
      <c r="C162" s="156"/>
      <c r="D162" s="81" t="s">
        <v>252</v>
      </c>
      <c r="G162" s="33"/>
      <c r="H162" s="81"/>
      <c r="J162" s="32"/>
      <c r="K162" s="37" t="s">
        <v>297</v>
      </c>
      <c r="L162" s="37" t="s">
        <v>185</v>
      </c>
      <c r="M162" s="81"/>
      <c r="N162" s="81"/>
      <c r="O162" s="96"/>
      <c r="Q162" s="34"/>
      <c r="R162" s="213" t="str">
        <f>IF(AND(ISNUMBER(G163),ISNUMBER(C162)),SUM(R163,R166:R168),"")</f>
        <v/>
      </c>
      <c r="S162" s="98" t="s">
        <v>160</v>
      </c>
      <c r="T162" s="43"/>
      <c r="U162" s="43"/>
      <c r="V162" s="43"/>
      <c r="W162" s="43"/>
      <c r="X162" s="43"/>
      <c r="Y162" s="43"/>
      <c r="Z162" s="43"/>
      <c r="AA162" s="43"/>
      <c r="AB162" s="220"/>
      <c r="AC162" s="43"/>
      <c r="AD162" s="43"/>
      <c r="AE162" s="35"/>
      <c r="AF162" s="35"/>
      <c r="AG162" s="35"/>
      <c r="AH162" s="35"/>
      <c r="AI162" s="35"/>
      <c r="AJ162" s="35"/>
      <c r="AK162" s="35"/>
      <c r="AL162" s="35"/>
      <c r="AM162" s="35"/>
      <c r="AN162" s="36"/>
      <c r="AO162" s="36"/>
      <c r="AP162" s="36"/>
      <c r="AQ162" s="36"/>
      <c r="AR162" s="36"/>
      <c r="AS162" s="36"/>
      <c r="AT162" s="36"/>
      <c r="AU162" s="36"/>
      <c r="AV162" s="36"/>
      <c r="AW162" s="36"/>
      <c r="AX162" s="36"/>
      <c r="AY162" s="36"/>
      <c r="AZ162" s="36"/>
      <c r="BA162" s="36"/>
      <c r="BB162" s="36"/>
      <c r="BC162" s="36"/>
      <c r="BD162" s="36"/>
      <c r="BE162" s="36"/>
    </row>
    <row r="163" spans="2:57" s="30" customFormat="1" ht="30" x14ac:dyDescent="0.2">
      <c r="B163" s="151" t="s">
        <v>660</v>
      </c>
      <c r="C163" s="475" t="s">
        <v>253</v>
      </c>
      <c r="D163" s="476"/>
      <c r="G163" s="152"/>
      <c r="H163" s="81" t="s">
        <v>5</v>
      </c>
      <c r="J163" s="169" t="s">
        <v>395</v>
      </c>
      <c r="K163" s="92" t="str">
        <f>IFERROR(IF(ISNUMBER(L163),L163,(VLOOKUP(C164,Kalusto!$C$45:$G$84,5,FALSE)*(VLOOKUP(C165,Muut!$D$40:$E$43,2,FALSE)))),"--")</f>
        <v>--</v>
      </c>
      <c r="L163" s="39"/>
      <c r="M163" s="40" t="s">
        <v>184</v>
      </c>
      <c r="N163" s="40"/>
      <c r="O163" s="259"/>
      <c r="Q163" s="34"/>
      <c r="R163" s="213" t="str">
        <f>IF(ISNUMBER(Y164*X164*K163),Y164*X164*K163,"")</f>
        <v/>
      </c>
      <c r="S163" s="98" t="s">
        <v>160</v>
      </c>
      <c r="T163" s="43" t="s">
        <v>400</v>
      </c>
      <c r="U163" s="43" t="s">
        <v>349</v>
      </c>
      <c r="V163" s="43" t="s">
        <v>397</v>
      </c>
      <c r="W163" s="43" t="s">
        <v>398</v>
      </c>
      <c r="X163" s="43" t="s">
        <v>401</v>
      </c>
      <c r="Y163" s="43" t="s">
        <v>403</v>
      </c>
      <c r="Z163" s="43" t="s">
        <v>339</v>
      </c>
      <c r="AA163" s="43"/>
      <c r="AB163" s="220"/>
      <c r="AC163" s="43"/>
      <c r="AD163" s="43"/>
      <c r="AE163" s="35"/>
      <c r="AF163" s="35"/>
      <c r="AG163" s="35"/>
      <c r="AH163" s="35"/>
      <c r="AI163" s="35"/>
      <c r="AJ163" s="35"/>
      <c r="AK163" s="35"/>
      <c r="AL163" s="35"/>
      <c r="AM163" s="35"/>
      <c r="AN163" s="36"/>
      <c r="AO163" s="36"/>
      <c r="AP163" s="36"/>
      <c r="AQ163" s="36"/>
      <c r="AR163" s="36"/>
      <c r="AS163" s="36"/>
      <c r="AT163" s="36"/>
      <c r="AU163" s="36"/>
      <c r="AV163" s="36"/>
      <c r="AW163" s="36"/>
      <c r="AX163" s="36"/>
      <c r="AY163" s="36"/>
      <c r="AZ163" s="36"/>
      <c r="BA163" s="36"/>
      <c r="BB163" s="36"/>
      <c r="BC163" s="36"/>
      <c r="BD163" s="36"/>
      <c r="BE163" s="36"/>
    </row>
    <row r="164" spans="2:57" s="30" customFormat="1" ht="15" x14ac:dyDescent="0.2">
      <c r="B164" s="76" t="s">
        <v>342</v>
      </c>
      <c r="C164" s="471" t="s">
        <v>298</v>
      </c>
      <c r="D164" s="472"/>
      <c r="E164" s="472"/>
      <c r="F164" s="472"/>
      <c r="G164" s="473"/>
      <c r="J164" s="32"/>
      <c r="K164" s="37"/>
      <c r="L164" s="37"/>
      <c r="M164" s="40"/>
      <c r="N164" s="40"/>
      <c r="O164" s="259"/>
      <c r="Q164" s="45"/>
      <c r="R164" s="220"/>
      <c r="S164" s="35"/>
      <c r="T164" s="211" t="str">
        <f>IFERROR(IF(ISNUMBER(L163),"Kohdetieto",VLOOKUP(C164,Kalusto!$C$45:$L$84,7,FALSE)),"--")</f>
        <v>--</v>
      </c>
      <c r="U164" s="211" t="str">
        <f>IFERROR(IF(ISNUMBER(L163),"Kohdetieto",VLOOKUP(C164,Kalusto!$C$45:$L$84,8,FALSE)),"--")</f>
        <v>--</v>
      </c>
      <c r="V164" s="212" t="str">
        <f>IFERROR(IF(ISNUMBER(L163),"Kohdetieto",VLOOKUP(C164,Kalusto!$C$45:$L$84,9,FALSE)),"--")</f>
        <v>--</v>
      </c>
      <c r="W164" s="212" t="str">
        <f>IFERROR(IF(ISNUMBER(L163),"Kohdetieto",VLOOKUP(C164,Kalusto!$C$45:$L$84,10,FALSE)),"--")</f>
        <v>--</v>
      </c>
      <c r="X164" s="213" t="str">
        <f>IF(ISBLANK(C162),"",C162/1000)</f>
        <v/>
      </c>
      <c r="Y164" s="211" t="str">
        <f>IF(ISNUMBER(G163),G163,"")</f>
        <v/>
      </c>
      <c r="Z164" s="214" t="str">
        <f>IF(ISNUMBER(L163),L163,K163)</f>
        <v>--</v>
      </c>
      <c r="AA164" s="43"/>
      <c r="AB164" s="220"/>
      <c r="AC164" s="43"/>
      <c r="AD164" s="43"/>
      <c r="AE164" s="35"/>
      <c r="AF164" s="35"/>
      <c r="AG164" s="35"/>
      <c r="AH164" s="35"/>
      <c r="AI164" s="35"/>
      <c r="AJ164" s="35"/>
      <c r="AK164" s="35"/>
      <c r="AL164" s="35"/>
      <c r="AM164" s="35"/>
      <c r="AN164" s="36"/>
      <c r="AO164" s="36"/>
      <c r="AP164" s="36"/>
      <c r="AQ164" s="36"/>
      <c r="AR164" s="36"/>
      <c r="AS164" s="36"/>
      <c r="AT164" s="36"/>
      <c r="AU164" s="36"/>
      <c r="AV164" s="36"/>
      <c r="AW164" s="36"/>
      <c r="AX164" s="36"/>
      <c r="AY164" s="36"/>
      <c r="AZ164" s="36"/>
      <c r="BA164" s="36"/>
      <c r="BB164" s="36"/>
      <c r="BC164" s="36"/>
      <c r="BD164" s="36"/>
      <c r="BE164" s="36"/>
    </row>
    <row r="165" spans="2:57" s="30" customFormat="1" ht="15" x14ac:dyDescent="0.2">
      <c r="B165" s="76" t="s">
        <v>457</v>
      </c>
      <c r="C165" s="156" t="s">
        <v>309</v>
      </c>
      <c r="D165" s="33"/>
      <c r="E165" s="33"/>
      <c r="F165" s="33"/>
      <c r="G165" s="33"/>
      <c r="H165" s="57"/>
      <c r="J165" s="169"/>
      <c r="K165" s="37" t="s">
        <v>297</v>
      </c>
      <c r="L165" s="37" t="s">
        <v>185</v>
      </c>
      <c r="M165" s="40"/>
      <c r="N165" s="40"/>
      <c r="O165" s="259"/>
      <c r="Q165" s="45"/>
      <c r="R165" s="43"/>
      <c r="S165" s="35"/>
      <c r="T165" s="43"/>
      <c r="U165" s="43"/>
      <c r="V165" s="215"/>
      <c r="W165" s="215"/>
      <c r="X165" s="216"/>
      <c r="Y165" s="43"/>
      <c r="Z165" s="216"/>
      <c r="AA165" s="217"/>
      <c r="AB165" s="216"/>
      <c r="AC165" s="216"/>
      <c r="AD165" s="216"/>
      <c r="AE165" s="59"/>
      <c r="AF165" s="178"/>
      <c r="AG165" s="59"/>
      <c r="AH165" s="35"/>
      <c r="AI165" s="35"/>
      <c r="AJ165" s="35"/>
      <c r="AK165" s="104"/>
      <c r="AL165" s="35"/>
      <c r="AM165" s="35"/>
      <c r="AN165" s="36"/>
      <c r="AO165" s="36"/>
      <c r="AP165" s="36"/>
      <c r="AQ165" s="36"/>
      <c r="AR165" s="36"/>
      <c r="AS165" s="36"/>
      <c r="AT165" s="36"/>
      <c r="AU165" s="36"/>
      <c r="AV165" s="36"/>
      <c r="AW165" s="36"/>
      <c r="AX165" s="36"/>
      <c r="AY165" s="36"/>
      <c r="AZ165" s="36"/>
      <c r="BA165" s="36"/>
      <c r="BB165" s="36"/>
      <c r="BC165" s="36"/>
      <c r="BD165" s="36"/>
      <c r="BE165" s="36"/>
    </row>
    <row r="166" spans="2:57" s="30" customFormat="1" ht="15" x14ac:dyDescent="0.2">
      <c r="B166" s="151" t="s">
        <v>491</v>
      </c>
      <c r="C166" s="474" t="s">
        <v>739</v>
      </c>
      <c r="D166" s="474"/>
      <c r="G166" s="152"/>
      <c r="H166" s="81" t="s">
        <v>5</v>
      </c>
      <c r="J166" s="32" t="str">
        <f>IFERROR(VLOOKUP(C166,Kalusto!$B$107:$C$110,2,FALSE),"Valitse kuljetustapa")</f>
        <v>Valitse kuljetustapa</v>
      </c>
      <c r="K166" s="92" t="str">
        <f>IFERROR(IF(ISNUMBER(L166),L166,VLOOKUP(J166,Kalusto!$C$107:$G$110,5,FALSE)),"--")</f>
        <v>--</v>
      </c>
      <c r="L166" s="39"/>
      <c r="M166" s="40" t="s">
        <v>184</v>
      </c>
      <c r="N166" s="40"/>
      <c r="O166" s="259"/>
      <c r="Q166" s="34"/>
      <c r="R166" s="213" t="str">
        <f>IF(AND(ISNUMBER(G166)*ISNUMBER(C162)),K166*G166*X164,"")</f>
        <v/>
      </c>
      <c r="S166" s="98" t="s">
        <v>160</v>
      </c>
      <c r="T166" s="43"/>
      <c r="U166" s="43"/>
      <c r="V166" s="43"/>
      <c r="W166" s="43"/>
      <c r="X166" s="43"/>
      <c r="Y166" s="43"/>
      <c r="Z166" s="43"/>
      <c r="AA166" s="43"/>
      <c r="AB166" s="220"/>
      <c r="AC166" s="43"/>
      <c r="AD166" s="43"/>
      <c r="AE166" s="35"/>
      <c r="AF166" s="35"/>
      <c r="AG166" s="35"/>
      <c r="AH166" s="35"/>
      <c r="AI166" s="35"/>
      <c r="AJ166" s="35"/>
      <c r="AK166" s="35"/>
      <c r="AL166" s="35"/>
      <c r="AM166" s="35"/>
      <c r="AN166" s="36"/>
      <c r="AO166" s="36"/>
      <c r="AP166" s="36"/>
      <c r="AQ166" s="36"/>
      <c r="AR166" s="36"/>
      <c r="AS166" s="36"/>
      <c r="AT166" s="36"/>
      <c r="AU166" s="36"/>
      <c r="AV166" s="36"/>
      <c r="AW166" s="36"/>
      <c r="AX166" s="36"/>
      <c r="AY166" s="36"/>
      <c r="AZ166" s="36"/>
      <c r="BA166" s="36"/>
      <c r="BB166" s="36"/>
      <c r="BC166" s="36"/>
      <c r="BD166" s="36"/>
      <c r="BE166" s="36"/>
    </row>
    <row r="167" spans="2:57" s="30" customFormat="1" ht="15" x14ac:dyDescent="0.2">
      <c r="B167" s="151" t="s">
        <v>491</v>
      </c>
      <c r="C167" s="474" t="s">
        <v>739</v>
      </c>
      <c r="D167" s="474"/>
      <c r="G167" s="152"/>
      <c r="H167" s="81" t="s">
        <v>5</v>
      </c>
      <c r="J167" s="32" t="str">
        <f>IFERROR(VLOOKUP(C167,Kalusto!$B$107:$C$110,2,FALSE),"Valitse kuljetustapa")</f>
        <v>Valitse kuljetustapa</v>
      </c>
      <c r="K167" s="92" t="str">
        <f>IFERROR(IF(ISNUMBER(L167),L167,VLOOKUP(J167,Kalusto!$C$107:$G$110,5,FALSE)),"--")</f>
        <v>--</v>
      </c>
      <c r="L167" s="39"/>
      <c r="M167" s="40" t="s">
        <v>184</v>
      </c>
      <c r="N167" s="40"/>
      <c r="O167" s="259"/>
      <c r="Q167" s="34"/>
      <c r="R167" s="213" t="str">
        <f>IF(AND(ISNUMBER(G167)*ISNUMBER(C162)),K167*G167*X164,"")</f>
        <v/>
      </c>
      <c r="S167" s="98" t="s">
        <v>160</v>
      </c>
      <c r="T167" s="43"/>
      <c r="U167" s="43"/>
      <c r="V167" s="43"/>
      <c r="W167" s="43"/>
      <c r="X167" s="43"/>
      <c r="Y167" s="43"/>
      <c r="Z167" s="43"/>
      <c r="AA167" s="43"/>
      <c r="AB167" s="220"/>
      <c r="AC167" s="43"/>
      <c r="AD167" s="43"/>
      <c r="AE167" s="35"/>
      <c r="AF167" s="35"/>
      <c r="AG167" s="35"/>
      <c r="AH167" s="35"/>
      <c r="AI167" s="35"/>
      <c r="AJ167" s="35"/>
      <c r="AK167" s="35"/>
      <c r="AL167" s="35"/>
      <c r="AM167" s="35"/>
      <c r="AN167" s="36"/>
      <c r="AO167" s="36"/>
      <c r="AP167" s="36"/>
      <c r="AQ167" s="36"/>
      <c r="AR167" s="36"/>
      <c r="AS167" s="36"/>
      <c r="AT167" s="36"/>
      <c r="AU167" s="36"/>
      <c r="AV167" s="36"/>
      <c r="AW167" s="36"/>
      <c r="AX167" s="36"/>
      <c r="AY167" s="36"/>
      <c r="AZ167" s="36"/>
      <c r="BA167" s="36"/>
      <c r="BB167" s="36"/>
      <c r="BC167" s="36"/>
      <c r="BD167" s="36"/>
      <c r="BE167" s="36"/>
    </row>
    <row r="168" spans="2:57" s="30" customFormat="1" ht="15" x14ac:dyDescent="0.2">
      <c r="B168" s="151" t="s">
        <v>491</v>
      </c>
      <c r="C168" s="474" t="s">
        <v>739</v>
      </c>
      <c r="D168" s="474"/>
      <c r="G168" s="152"/>
      <c r="H168" s="81" t="s">
        <v>5</v>
      </c>
      <c r="J168" s="32" t="str">
        <f>IFERROR(VLOOKUP(C168,Kalusto!$B$107:$C$110,2,FALSE),"Valitse kuljetustapa")</f>
        <v>Valitse kuljetustapa</v>
      </c>
      <c r="K168" s="92" t="str">
        <f>IFERROR(IF(ISNUMBER(L168),L168,VLOOKUP(J168,Kalusto!$C$107:$G$110,5,FALSE)),"--")</f>
        <v>--</v>
      </c>
      <c r="L168" s="39"/>
      <c r="M168" s="40" t="s">
        <v>184</v>
      </c>
      <c r="N168" s="40"/>
      <c r="O168" s="259"/>
      <c r="Q168" s="34"/>
      <c r="R168" s="213" t="str">
        <f>IF(AND(ISNUMBER(G168)*ISNUMBER(C162)),K168*G168*X164,"")</f>
        <v/>
      </c>
      <c r="S168" s="98" t="s">
        <v>160</v>
      </c>
      <c r="T168" s="43"/>
      <c r="U168" s="43"/>
      <c r="V168" s="43"/>
      <c r="W168" s="43"/>
      <c r="X168" s="43"/>
      <c r="Y168" s="43"/>
      <c r="Z168" s="43"/>
      <c r="AA168" s="43"/>
      <c r="AB168" s="220"/>
      <c r="AC168" s="43"/>
      <c r="AD168" s="43"/>
      <c r="AE168" s="35"/>
      <c r="AF168" s="35"/>
      <c r="AG168" s="35"/>
      <c r="AH168" s="35"/>
      <c r="AI168" s="35"/>
      <c r="AJ168" s="35"/>
      <c r="AK168" s="35"/>
      <c r="AL168" s="35"/>
      <c r="AM168" s="35"/>
      <c r="AN168" s="36"/>
      <c r="AO168" s="36"/>
      <c r="AP168" s="36"/>
      <c r="AQ168" s="36"/>
      <c r="AR168" s="36"/>
      <c r="AS168" s="36"/>
      <c r="AT168" s="36"/>
      <c r="AU168" s="36"/>
      <c r="AV168" s="36"/>
      <c r="AW168" s="36"/>
      <c r="AX168" s="36"/>
      <c r="AY168" s="36"/>
      <c r="AZ168" s="36"/>
      <c r="BA168" s="36"/>
      <c r="BB168" s="36"/>
      <c r="BC168" s="36"/>
      <c r="BD168" s="36"/>
      <c r="BE168" s="36"/>
    </row>
    <row r="169" spans="2:57" s="30" customFormat="1" ht="15.75" x14ac:dyDescent="0.2">
      <c r="B169" s="8" t="str">
        <f>B138</f>
        <v>Kemikaali-, tuote- tai materiaalilaji 3</v>
      </c>
      <c r="C169" s="33"/>
      <c r="D169" s="81"/>
      <c r="G169" s="70"/>
      <c r="H169" s="81"/>
      <c r="J169" s="32"/>
      <c r="K169" s="33"/>
      <c r="L169" s="33"/>
      <c r="M169" s="81"/>
      <c r="N169" s="81"/>
      <c r="O169" s="96"/>
      <c r="Q169" s="34"/>
      <c r="R169" s="43" t="s">
        <v>318</v>
      </c>
      <c r="S169" s="35"/>
      <c r="T169" s="43"/>
      <c r="U169" s="43"/>
      <c r="V169" s="43"/>
      <c r="W169" s="43"/>
      <c r="X169" s="43"/>
      <c r="Y169" s="43"/>
      <c r="Z169" s="43"/>
      <c r="AA169" s="43"/>
      <c r="AB169" s="220"/>
      <c r="AC169" s="43"/>
      <c r="AD169" s="43"/>
      <c r="AE169" s="35"/>
      <c r="AF169" s="35"/>
      <c r="AG169" s="35"/>
      <c r="AH169" s="35"/>
      <c r="AI169" s="35"/>
      <c r="AJ169" s="35"/>
      <c r="AK169" s="35"/>
      <c r="AL169" s="35"/>
      <c r="AM169" s="35"/>
      <c r="AN169" s="36"/>
      <c r="AO169" s="36"/>
      <c r="AP169" s="36"/>
      <c r="AQ169" s="36"/>
      <c r="AR169" s="36"/>
      <c r="AS169" s="36"/>
      <c r="AT169" s="36"/>
      <c r="AU169" s="36"/>
      <c r="AV169" s="36"/>
      <c r="AW169" s="36"/>
      <c r="AX169" s="36"/>
      <c r="AY169" s="36"/>
      <c r="AZ169" s="36"/>
      <c r="BA169" s="36"/>
      <c r="BB169" s="36"/>
      <c r="BC169" s="36"/>
      <c r="BD169" s="36"/>
      <c r="BE169" s="36"/>
    </row>
    <row r="170" spans="2:57" s="30" customFormat="1" ht="15" x14ac:dyDescent="0.2">
      <c r="B170" s="52" t="s">
        <v>340</v>
      </c>
      <c r="C170" s="156"/>
      <c r="D170" s="81" t="s">
        <v>252</v>
      </c>
      <c r="G170" s="33"/>
      <c r="H170" s="81"/>
      <c r="J170" s="32"/>
      <c r="K170" s="37" t="s">
        <v>297</v>
      </c>
      <c r="L170" s="37" t="s">
        <v>185</v>
      </c>
      <c r="M170" s="81"/>
      <c r="N170" s="81"/>
      <c r="O170" s="96"/>
      <c r="Q170" s="34"/>
      <c r="R170" s="213" t="str">
        <f>IF(AND(ISNUMBER(G171),ISNUMBER(C170)),SUM(R171,R174:R176),"")</f>
        <v/>
      </c>
      <c r="S170" s="98" t="s">
        <v>160</v>
      </c>
      <c r="T170" s="43"/>
      <c r="U170" s="43"/>
      <c r="V170" s="43"/>
      <c r="W170" s="43"/>
      <c r="X170" s="43"/>
      <c r="Y170" s="43"/>
      <c r="Z170" s="43"/>
      <c r="AA170" s="43"/>
      <c r="AB170" s="220"/>
      <c r="AC170" s="43"/>
      <c r="AD170" s="43"/>
      <c r="AE170" s="35"/>
      <c r="AF170" s="35"/>
      <c r="AG170" s="35"/>
      <c r="AH170" s="35"/>
      <c r="AI170" s="35"/>
      <c r="AJ170" s="35"/>
      <c r="AK170" s="35"/>
      <c r="AL170" s="35"/>
      <c r="AM170" s="35"/>
      <c r="AN170" s="36"/>
      <c r="AO170" s="36"/>
      <c r="AP170" s="36"/>
      <c r="AQ170" s="36"/>
      <c r="AR170" s="36"/>
      <c r="AS170" s="36"/>
      <c r="AT170" s="36"/>
      <c r="AU170" s="36"/>
      <c r="AV170" s="36"/>
      <c r="AW170" s="36"/>
      <c r="AX170" s="36"/>
      <c r="AY170" s="36"/>
      <c r="AZ170" s="36"/>
      <c r="BA170" s="36"/>
      <c r="BB170" s="36"/>
      <c r="BC170" s="36"/>
      <c r="BD170" s="36"/>
      <c r="BE170" s="36"/>
    </row>
    <row r="171" spans="2:57" s="30" customFormat="1" ht="30" x14ac:dyDescent="0.2">
      <c r="B171" s="151" t="s">
        <v>660</v>
      </c>
      <c r="C171" s="475" t="s">
        <v>253</v>
      </c>
      <c r="D171" s="476"/>
      <c r="G171" s="152"/>
      <c r="H171" s="81" t="s">
        <v>5</v>
      </c>
      <c r="J171" s="169" t="s">
        <v>395</v>
      </c>
      <c r="K171" s="92" t="str">
        <f>IFERROR(IF(ISNUMBER(L171),L171,(VLOOKUP(C172,Kalusto!$C$45:$G$84,5,FALSE)*(VLOOKUP(C173,Muut!$D$40:$E$43,2,FALSE)))),"--")</f>
        <v>--</v>
      </c>
      <c r="L171" s="39"/>
      <c r="M171" s="40" t="s">
        <v>184</v>
      </c>
      <c r="N171" s="40"/>
      <c r="O171" s="259"/>
      <c r="Q171" s="34"/>
      <c r="R171" s="213" t="str">
        <f>IF(ISNUMBER(Y172*X172*K171),Y172*X172*K171,"")</f>
        <v/>
      </c>
      <c r="S171" s="98" t="s">
        <v>160</v>
      </c>
      <c r="T171" s="43" t="s">
        <v>400</v>
      </c>
      <c r="U171" s="43" t="s">
        <v>349</v>
      </c>
      <c r="V171" s="43" t="s">
        <v>397</v>
      </c>
      <c r="W171" s="43" t="s">
        <v>398</v>
      </c>
      <c r="X171" s="43" t="s">
        <v>401</v>
      </c>
      <c r="Y171" s="43" t="s">
        <v>403</v>
      </c>
      <c r="Z171" s="43" t="s">
        <v>339</v>
      </c>
      <c r="AA171" s="43"/>
      <c r="AB171" s="220"/>
      <c r="AC171" s="43"/>
      <c r="AD171" s="43"/>
      <c r="AE171" s="35"/>
      <c r="AF171" s="35"/>
      <c r="AG171" s="35"/>
      <c r="AH171" s="35"/>
      <c r="AI171" s="35"/>
      <c r="AJ171" s="35"/>
      <c r="AK171" s="35"/>
      <c r="AL171" s="35"/>
      <c r="AM171" s="35"/>
      <c r="AN171" s="36"/>
      <c r="AO171" s="36"/>
      <c r="AP171" s="36"/>
      <c r="AQ171" s="36"/>
      <c r="AR171" s="36"/>
      <c r="AS171" s="36"/>
      <c r="AT171" s="36"/>
      <c r="AU171" s="36"/>
      <c r="AV171" s="36"/>
      <c r="AW171" s="36"/>
      <c r="AX171" s="36"/>
      <c r="AY171" s="36"/>
      <c r="AZ171" s="36"/>
      <c r="BA171" s="36"/>
      <c r="BB171" s="36"/>
      <c r="BC171" s="36"/>
      <c r="BD171" s="36"/>
      <c r="BE171" s="36"/>
    </row>
    <row r="172" spans="2:57" s="30" customFormat="1" ht="15" x14ac:dyDescent="0.2">
      <c r="B172" s="76" t="s">
        <v>342</v>
      </c>
      <c r="C172" s="471" t="s">
        <v>298</v>
      </c>
      <c r="D172" s="472"/>
      <c r="E172" s="472"/>
      <c r="F172" s="472"/>
      <c r="G172" s="473"/>
      <c r="H172" s="165"/>
      <c r="J172" s="32"/>
      <c r="K172" s="37"/>
      <c r="L172" s="37"/>
      <c r="M172" s="40"/>
      <c r="N172" s="40"/>
      <c r="O172" s="259"/>
      <c r="Q172" s="45"/>
      <c r="R172" s="220"/>
      <c r="S172" s="35"/>
      <c r="T172" s="211" t="str">
        <f>IFERROR(IF(ISNUMBER(L171),"Kohdetieto",VLOOKUP(C172,Kalusto!$C$45:$L$84,7,FALSE)),"--")</f>
        <v>--</v>
      </c>
      <c r="U172" s="211" t="str">
        <f>IFERROR(IF(ISNUMBER(L171),"Kohdetieto",VLOOKUP(C172,Kalusto!$C$45:$L$84,8,FALSE)),"--")</f>
        <v>--</v>
      </c>
      <c r="V172" s="212" t="str">
        <f>IFERROR(IF(ISNUMBER(L171),"Kohdetieto",VLOOKUP(C172,Kalusto!$C$45:$L$84,9,FALSE)),"--")</f>
        <v>--</v>
      </c>
      <c r="W172" s="212" t="str">
        <f>IFERROR(IF(ISNUMBER(L171),"Kohdetieto",VLOOKUP(C172,Kalusto!$C$45:$L$84,10,FALSE)),"--")</f>
        <v>--</v>
      </c>
      <c r="X172" s="213" t="str">
        <f>IF(ISBLANK(C170),"",C170/1000)</f>
        <v/>
      </c>
      <c r="Y172" s="211" t="str">
        <f>IF(ISNUMBER(G171),G171,"")</f>
        <v/>
      </c>
      <c r="Z172" s="214" t="str">
        <f>IF(ISNUMBER(L171),L171,K171)</f>
        <v>--</v>
      </c>
      <c r="AA172" s="43"/>
      <c r="AB172" s="220"/>
      <c r="AC172" s="43"/>
      <c r="AD172" s="43"/>
      <c r="AE172" s="35"/>
      <c r="AF172" s="35"/>
      <c r="AG172" s="35"/>
      <c r="AH172" s="35"/>
      <c r="AI172" s="35"/>
      <c r="AJ172" s="35"/>
      <c r="AK172" s="35"/>
      <c r="AL172" s="35"/>
      <c r="AM172" s="35"/>
      <c r="AN172" s="36"/>
      <c r="AO172" s="36"/>
      <c r="AP172" s="36"/>
      <c r="AQ172" s="36"/>
      <c r="AR172" s="36"/>
      <c r="AS172" s="36"/>
      <c r="AT172" s="36"/>
      <c r="AU172" s="36"/>
      <c r="AV172" s="36"/>
      <c r="AW172" s="36"/>
      <c r="AX172" s="36"/>
      <c r="AY172" s="36"/>
      <c r="AZ172" s="36"/>
      <c r="BA172" s="36"/>
      <c r="BB172" s="36"/>
      <c r="BC172" s="36"/>
      <c r="BD172" s="36"/>
      <c r="BE172" s="36"/>
    </row>
    <row r="173" spans="2:57" s="30" customFormat="1" ht="15" x14ac:dyDescent="0.2">
      <c r="B173" s="76" t="s">
        <v>457</v>
      </c>
      <c r="C173" s="156" t="s">
        <v>309</v>
      </c>
      <c r="D173" s="33"/>
      <c r="E173" s="33"/>
      <c r="F173" s="33"/>
      <c r="G173" s="33"/>
      <c r="H173" s="57"/>
      <c r="J173" s="169"/>
      <c r="K173" s="37" t="s">
        <v>297</v>
      </c>
      <c r="L173" s="37" t="s">
        <v>185</v>
      </c>
      <c r="M173" s="40"/>
      <c r="N173" s="40"/>
      <c r="O173" s="259"/>
      <c r="Q173" s="45"/>
      <c r="R173" s="43"/>
      <c r="S173" s="35"/>
      <c r="T173" s="43"/>
      <c r="U173" s="43"/>
      <c r="V173" s="215"/>
      <c r="W173" s="215"/>
      <c r="X173" s="216"/>
      <c r="Y173" s="43"/>
      <c r="Z173" s="216"/>
      <c r="AA173" s="217"/>
      <c r="AB173" s="216"/>
      <c r="AC173" s="216"/>
      <c r="AD173" s="216"/>
      <c r="AE173" s="59"/>
      <c r="AF173" s="178"/>
      <c r="AG173" s="59"/>
      <c r="AH173" s="35"/>
      <c r="AI173" s="35"/>
      <c r="AJ173" s="35"/>
      <c r="AK173" s="104"/>
      <c r="AL173" s="35"/>
      <c r="AM173" s="35"/>
      <c r="AN173" s="36"/>
      <c r="AO173" s="36"/>
      <c r="AP173" s="36"/>
      <c r="AQ173" s="36"/>
      <c r="AR173" s="36"/>
      <c r="AS173" s="36"/>
      <c r="AT173" s="36"/>
      <c r="AU173" s="36"/>
      <c r="AV173" s="36"/>
      <c r="AW173" s="36"/>
      <c r="AX173" s="36"/>
      <c r="AY173" s="36"/>
      <c r="AZ173" s="36"/>
      <c r="BA173" s="36"/>
      <c r="BB173" s="36"/>
      <c r="BC173" s="36"/>
      <c r="BD173" s="36"/>
      <c r="BE173" s="36"/>
    </row>
    <row r="174" spans="2:57" s="30" customFormat="1" ht="15" x14ac:dyDescent="0.2">
      <c r="B174" s="151" t="s">
        <v>491</v>
      </c>
      <c r="C174" s="474" t="s">
        <v>739</v>
      </c>
      <c r="D174" s="474"/>
      <c r="G174" s="152"/>
      <c r="H174" s="81" t="s">
        <v>5</v>
      </c>
      <c r="J174" s="32" t="str">
        <f>IFERROR(VLOOKUP(C174,Kalusto!$B$107:$C$110,2,FALSE),"Valitse kuljetustapa")</f>
        <v>Valitse kuljetustapa</v>
      </c>
      <c r="K174" s="92" t="str">
        <f>IFERROR(IF(ISNUMBER(L174),L174,VLOOKUP(J174,Kalusto!$C$107:$G$110,5,FALSE)),"--")</f>
        <v>--</v>
      </c>
      <c r="L174" s="39"/>
      <c r="M174" s="40" t="s">
        <v>184</v>
      </c>
      <c r="N174" s="40"/>
      <c r="O174" s="259"/>
      <c r="Q174" s="34"/>
      <c r="R174" s="213" t="str">
        <f>IF(AND(ISNUMBER(G174)*ISNUMBER(C170)),K174*G174*X172,"")</f>
        <v/>
      </c>
      <c r="S174" s="98" t="s">
        <v>160</v>
      </c>
      <c r="T174" s="43"/>
      <c r="U174" s="43"/>
      <c r="V174" s="43"/>
      <c r="W174" s="43"/>
      <c r="X174" s="43"/>
      <c r="Y174" s="43"/>
      <c r="Z174" s="43"/>
      <c r="AA174" s="43"/>
      <c r="AB174" s="220"/>
      <c r="AC174" s="43"/>
      <c r="AD174" s="43"/>
      <c r="AE174" s="35"/>
      <c r="AF174" s="35"/>
      <c r="AG174" s="35"/>
      <c r="AH174" s="35"/>
      <c r="AI174" s="35"/>
      <c r="AJ174" s="35"/>
      <c r="AK174" s="35"/>
      <c r="AL174" s="35"/>
      <c r="AM174" s="35"/>
      <c r="AN174" s="36"/>
      <c r="AO174" s="36"/>
      <c r="AP174" s="36"/>
      <c r="AQ174" s="36"/>
      <c r="AR174" s="36"/>
      <c r="AS174" s="36"/>
      <c r="AT174" s="36"/>
      <c r="AU174" s="36"/>
      <c r="AV174" s="36"/>
      <c r="AW174" s="36"/>
      <c r="AX174" s="36"/>
      <c r="AY174" s="36"/>
      <c r="AZ174" s="36"/>
      <c r="BA174" s="36"/>
      <c r="BB174" s="36"/>
      <c r="BC174" s="36"/>
      <c r="BD174" s="36"/>
      <c r="BE174" s="36"/>
    </row>
    <row r="175" spans="2:57" s="30" customFormat="1" ht="15" x14ac:dyDescent="0.2">
      <c r="B175" s="151" t="s">
        <v>491</v>
      </c>
      <c r="C175" s="474" t="s">
        <v>739</v>
      </c>
      <c r="D175" s="474"/>
      <c r="G175" s="152"/>
      <c r="H175" s="81" t="s">
        <v>5</v>
      </c>
      <c r="J175" s="32" t="str">
        <f>IFERROR(VLOOKUP(C175,Kalusto!$B$107:$C$110,2,FALSE),"Valitse kuljetustapa")</f>
        <v>Valitse kuljetustapa</v>
      </c>
      <c r="K175" s="92" t="str">
        <f>IFERROR(IF(ISNUMBER(L175),L175,VLOOKUP(J175,Kalusto!$C$107:$G$110,5,FALSE)),"--")</f>
        <v>--</v>
      </c>
      <c r="L175" s="39"/>
      <c r="M175" s="40" t="s">
        <v>184</v>
      </c>
      <c r="N175" s="40"/>
      <c r="O175" s="259"/>
      <c r="Q175" s="34"/>
      <c r="R175" s="213" t="str">
        <f>IF(AND(ISNUMBER(G175)*ISNUMBER(C170)),K175*G175*X172,"")</f>
        <v/>
      </c>
      <c r="S175" s="98" t="s">
        <v>160</v>
      </c>
      <c r="T175" s="43"/>
      <c r="U175" s="43"/>
      <c r="V175" s="43"/>
      <c r="W175" s="43"/>
      <c r="X175" s="43"/>
      <c r="Y175" s="43"/>
      <c r="Z175" s="43"/>
      <c r="AA175" s="43"/>
      <c r="AB175" s="220"/>
      <c r="AC175" s="43"/>
      <c r="AD175" s="43"/>
      <c r="AE175" s="35"/>
      <c r="AF175" s="35"/>
      <c r="AG175" s="35"/>
      <c r="AH175" s="35"/>
      <c r="AI175" s="35"/>
      <c r="AJ175" s="35"/>
      <c r="AK175" s="35"/>
      <c r="AL175" s="35"/>
      <c r="AM175" s="35"/>
      <c r="AN175" s="36"/>
      <c r="AO175" s="36"/>
      <c r="AP175" s="36"/>
      <c r="AQ175" s="36"/>
      <c r="AR175" s="36"/>
      <c r="AS175" s="36"/>
      <c r="AT175" s="36"/>
      <c r="AU175" s="36"/>
      <c r="AV175" s="36"/>
      <c r="AW175" s="36"/>
      <c r="AX175" s="36"/>
      <c r="AY175" s="36"/>
      <c r="AZ175" s="36"/>
      <c r="BA175" s="36"/>
      <c r="BB175" s="36"/>
      <c r="BC175" s="36"/>
      <c r="BD175" s="36"/>
      <c r="BE175" s="36"/>
    </row>
    <row r="176" spans="2:57" s="30" customFormat="1" ht="15" x14ac:dyDescent="0.2">
      <c r="B176" s="151" t="s">
        <v>491</v>
      </c>
      <c r="C176" s="474" t="s">
        <v>739</v>
      </c>
      <c r="D176" s="474"/>
      <c r="G176" s="152"/>
      <c r="H176" s="81" t="s">
        <v>5</v>
      </c>
      <c r="J176" s="32" t="str">
        <f>IFERROR(VLOOKUP(C176,Kalusto!$B$107:$C$110,2,FALSE),"Valitse kuljetustapa")</f>
        <v>Valitse kuljetustapa</v>
      </c>
      <c r="K176" s="92" t="str">
        <f>IFERROR(IF(ISNUMBER(L176),L176,VLOOKUP(J176,Kalusto!$C$107:$G$110,5,FALSE)),"--")</f>
        <v>--</v>
      </c>
      <c r="L176" s="39"/>
      <c r="M176" s="40" t="s">
        <v>184</v>
      </c>
      <c r="N176" s="40"/>
      <c r="O176" s="259"/>
      <c r="Q176" s="34"/>
      <c r="R176" s="213" t="str">
        <f>IF(AND(ISNUMBER(G176)*ISNUMBER(C170)),K176*G176*X172,"")</f>
        <v/>
      </c>
      <c r="S176" s="98" t="s">
        <v>160</v>
      </c>
      <c r="T176" s="43"/>
      <c r="U176" s="43"/>
      <c r="V176" s="43"/>
      <c r="W176" s="43"/>
      <c r="X176" s="43"/>
      <c r="Y176" s="43"/>
      <c r="Z176" s="43"/>
      <c r="AA176" s="43"/>
      <c r="AB176" s="220"/>
      <c r="AC176" s="43"/>
      <c r="AD176" s="43"/>
      <c r="AE176" s="35"/>
      <c r="AF176" s="35"/>
      <c r="AG176" s="35"/>
      <c r="AH176" s="35"/>
      <c r="AI176" s="35"/>
      <c r="AJ176" s="35"/>
      <c r="AK176" s="35"/>
      <c r="AL176" s="35"/>
      <c r="AM176" s="35"/>
      <c r="AN176" s="36"/>
      <c r="AO176" s="36"/>
      <c r="AP176" s="36"/>
      <c r="AQ176" s="36"/>
      <c r="AR176" s="36"/>
      <c r="AS176" s="36"/>
      <c r="AT176" s="36"/>
      <c r="AU176" s="36"/>
      <c r="AV176" s="36"/>
      <c r="AW176" s="36"/>
      <c r="AX176" s="36"/>
      <c r="AY176" s="36"/>
      <c r="AZ176" s="36"/>
      <c r="BA176" s="36"/>
      <c r="BB176" s="36"/>
      <c r="BC176" s="36"/>
      <c r="BD176" s="36"/>
      <c r="BE176" s="36"/>
    </row>
    <row r="177" spans="2:57" s="30" customFormat="1" ht="15.75" x14ac:dyDescent="0.2">
      <c r="B177" s="8" t="str">
        <f>B141</f>
        <v>Kemikaali-, tuote- tai materiaalilaji 4</v>
      </c>
      <c r="C177" s="33"/>
      <c r="D177" s="81"/>
      <c r="G177" s="70"/>
      <c r="H177" s="81"/>
      <c r="J177" s="32"/>
      <c r="K177" s="33"/>
      <c r="L177" s="33"/>
      <c r="M177" s="81"/>
      <c r="N177" s="81"/>
      <c r="O177" s="96"/>
      <c r="Q177" s="34"/>
      <c r="R177" s="43" t="s">
        <v>318</v>
      </c>
      <c r="S177" s="35"/>
      <c r="T177" s="43"/>
      <c r="U177" s="43"/>
      <c r="V177" s="43"/>
      <c r="W177" s="43"/>
      <c r="X177" s="43"/>
      <c r="Y177" s="43"/>
      <c r="Z177" s="43"/>
      <c r="AA177" s="43"/>
      <c r="AB177" s="220"/>
      <c r="AC177" s="43"/>
      <c r="AD177" s="43"/>
      <c r="AE177" s="35"/>
      <c r="AF177" s="35"/>
      <c r="AG177" s="35"/>
      <c r="AH177" s="35"/>
      <c r="AI177" s="35"/>
      <c r="AJ177" s="35"/>
      <c r="AK177" s="35"/>
      <c r="AL177" s="35"/>
      <c r="AM177" s="35"/>
      <c r="AN177" s="36"/>
      <c r="AO177" s="36"/>
      <c r="AP177" s="36"/>
      <c r="AQ177" s="36"/>
      <c r="AR177" s="36"/>
      <c r="AS177" s="36"/>
      <c r="AT177" s="36"/>
      <c r="AU177" s="36"/>
      <c r="AV177" s="36"/>
      <c r="AW177" s="36"/>
      <c r="AX177" s="36"/>
      <c r="AY177" s="36"/>
      <c r="AZ177" s="36"/>
      <c r="BA177" s="36"/>
      <c r="BB177" s="36"/>
      <c r="BC177" s="36"/>
      <c r="BD177" s="36"/>
      <c r="BE177" s="36"/>
    </row>
    <row r="178" spans="2:57" s="30" customFormat="1" ht="15" x14ac:dyDescent="0.2">
      <c r="B178" s="52" t="s">
        <v>340</v>
      </c>
      <c r="C178" s="156"/>
      <c r="D178" s="81" t="s">
        <v>252</v>
      </c>
      <c r="G178" s="33"/>
      <c r="H178" s="81"/>
      <c r="J178" s="32"/>
      <c r="K178" s="37" t="s">
        <v>297</v>
      </c>
      <c r="L178" s="37" t="s">
        <v>185</v>
      </c>
      <c r="M178" s="81"/>
      <c r="N178" s="81"/>
      <c r="O178" s="96"/>
      <c r="Q178" s="34"/>
      <c r="R178" s="213" t="str">
        <f>IF(AND(ISNUMBER(G179),ISNUMBER(C178)),SUM(R179,R182:R184),"")</f>
        <v/>
      </c>
      <c r="S178" s="98" t="s">
        <v>160</v>
      </c>
      <c r="T178" s="43"/>
      <c r="U178" s="43"/>
      <c r="V178" s="43"/>
      <c r="W178" s="43"/>
      <c r="X178" s="43"/>
      <c r="Y178" s="43"/>
      <c r="Z178" s="43"/>
      <c r="AA178" s="43"/>
      <c r="AB178" s="220"/>
      <c r="AC178" s="43"/>
      <c r="AD178" s="43"/>
      <c r="AE178" s="35"/>
      <c r="AF178" s="35"/>
      <c r="AG178" s="35"/>
      <c r="AH178" s="35"/>
      <c r="AI178" s="35"/>
      <c r="AJ178" s="35"/>
      <c r="AK178" s="35"/>
      <c r="AL178" s="35"/>
      <c r="AM178" s="35"/>
      <c r="AN178" s="36"/>
      <c r="AO178" s="36"/>
      <c r="AP178" s="36"/>
      <c r="AQ178" s="36"/>
      <c r="AR178" s="36"/>
      <c r="AS178" s="36"/>
      <c r="AT178" s="36"/>
      <c r="AU178" s="36"/>
      <c r="AV178" s="36"/>
      <c r="AW178" s="36"/>
      <c r="AX178" s="36"/>
      <c r="AY178" s="36"/>
      <c r="AZ178" s="36"/>
      <c r="BA178" s="36"/>
      <c r="BB178" s="36"/>
      <c r="BC178" s="36"/>
      <c r="BD178" s="36"/>
      <c r="BE178" s="36"/>
    </row>
    <row r="179" spans="2:57" s="30" customFormat="1" ht="30" x14ac:dyDescent="0.2">
      <c r="B179" s="151" t="s">
        <v>660</v>
      </c>
      <c r="C179" s="475" t="s">
        <v>253</v>
      </c>
      <c r="D179" s="476"/>
      <c r="G179" s="152"/>
      <c r="H179" s="81" t="s">
        <v>5</v>
      </c>
      <c r="J179" s="169" t="s">
        <v>395</v>
      </c>
      <c r="K179" s="92" t="str">
        <f>IFERROR(IF(ISNUMBER(L179),L179,(VLOOKUP(C180,Kalusto!$C$45:$G$84,5,FALSE)*(VLOOKUP(C181,Muut!$D$40:$E$43,2,FALSE)))),"--")</f>
        <v>--</v>
      </c>
      <c r="L179" s="39"/>
      <c r="M179" s="40" t="s">
        <v>184</v>
      </c>
      <c r="N179" s="40"/>
      <c r="O179" s="259"/>
      <c r="Q179" s="34"/>
      <c r="R179" s="213" t="str">
        <f>IF(ISNUMBER(Y180*X180*K179),Y180*X180*K179,"")</f>
        <v/>
      </c>
      <c r="S179" s="98" t="s">
        <v>160</v>
      </c>
      <c r="T179" s="43" t="s">
        <v>400</v>
      </c>
      <c r="U179" s="43" t="s">
        <v>349</v>
      </c>
      <c r="V179" s="43" t="s">
        <v>397</v>
      </c>
      <c r="W179" s="43" t="s">
        <v>398</v>
      </c>
      <c r="X179" s="43" t="s">
        <v>401</v>
      </c>
      <c r="Y179" s="43" t="s">
        <v>403</v>
      </c>
      <c r="Z179" s="43" t="s">
        <v>339</v>
      </c>
      <c r="AA179" s="43"/>
      <c r="AB179" s="220"/>
      <c r="AC179" s="43"/>
      <c r="AD179" s="43"/>
      <c r="AE179" s="35"/>
      <c r="AF179" s="35"/>
      <c r="AG179" s="35"/>
      <c r="AH179" s="35"/>
      <c r="AI179" s="35"/>
      <c r="AJ179" s="35"/>
      <c r="AK179" s="35"/>
      <c r="AL179" s="35"/>
      <c r="AM179" s="35"/>
      <c r="AN179" s="36"/>
      <c r="AO179" s="36"/>
      <c r="AP179" s="36"/>
      <c r="AQ179" s="36"/>
      <c r="AR179" s="36"/>
      <c r="AS179" s="36"/>
      <c r="AT179" s="36"/>
      <c r="AU179" s="36"/>
      <c r="AV179" s="36"/>
      <c r="AW179" s="36"/>
      <c r="AX179" s="36"/>
      <c r="AY179" s="36"/>
      <c r="AZ179" s="36"/>
      <c r="BA179" s="36"/>
      <c r="BB179" s="36"/>
      <c r="BC179" s="36"/>
      <c r="BD179" s="36"/>
      <c r="BE179" s="36"/>
    </row>
    <row r="180" spans="2:57" s="30" customFormat="1" ht="15" x14ac:dyDescent="0.2">
      <c r="B180" s="76" t="s">
        <v>342</v>
      </c>
      <c r="C180" s="471" t="s">
        <v>298</v>
      </c>
      <c r="D180" s="472"/>
      <c r="E180" s="472"/>
      <c r="F180" s="472"/>
      <c r="G180" s="473"/>
      <c r="J180" s="32"/>
      <c r="K180" s="37"/>
      <c r="L180" s="37"/>
      <c r="M180" s="40"/>
      <c r="N180" s="40"/>
      <c r="O180" s="259"/>
      <c r="Q180" s="45"/>
      <c r="R180" s="220"/>
      <c r="S180" s="35"/>
      <c r="T180" s="211" t="str">
        <f>IFERROR(IF(ISNUMBER(L179),"Kohdetieto",VLOOKUP(C180,Kalusto!$C$45:$L$84,7,FALSE)),"--")</f>
        <v>--</v>
      </c>
      <c r="U180" s="211" t="str">
        <f>IFERROR(IF(ISNUMBER(L179),"Kohdetieto",VLOOKUP(C180,Kalusto!$C$45:$L$84,8,FALSE)),"--")</f>
        <v>--</v>
      </c>
      <c r="V180" s="212" t="str">
        <f>IFERROR(IF(ISNUMBER(L179),"Kohdetieto",VLOOKUP(C180,Kalusto!$C$45:$L$84,9,FALSE)),"--")</f>
        <v>--</v>
      </c>
      <c r="W180" s="212" t="str">
        <f>IFERROR(IF(ISNUMBER(L179),"Kohdetieto",VLOOKUP(C180,Kalusto!$C$45:$L$84,10,FALSE)),"--")</f>
        <v>--</v>
      </c>
      <c r="X180" s="213" t="str">
        <f>IF(ISBLANK(C178),"",C178/1000)</f>
        <v/>
      </c>
      <c r="Y180" s="211" t="str">
        <f>IF(ISNUMBER(G179),G179,"")</f>
        <v/>
      </c>
      <c r="Z180" s="214" t="str">
        <f>IF(ISNUMBER(L179),L179,K179)</f>
        <v>--</v>
      </c>
      <c r="AA180" s="43"/>
      <c r="AB180" s="220"/>
      <c r="AC180" s="43"/>
      <c r="AD180" s="43"/>
      <c r="AE180" s="35"/>
      <c r="AF180" s="35"/>
      <c r="AG180" s="35"/>
      <c r="AH180" s="35"/>
      <c r="AI180" s="35"/>
      <c r="AJ180" s="35"/>
      <c r="AK180" s="35"/>
      <c r="AL180" s="35"/>
      <c r="AM180" s="35"/>
      <c r="AN180" s="36"/>
      <c r="AO180" s="36"/>
      <c r="AP180" s="36"/>
      <c r="AQ180" s="36"/>
      <c r="AR180" s="36"/>
      <c r="AS180" s="36"/>
      <c r="AT180" s="36"/>
      <c r="AU180" s="36"/>
      <c r="AV180" s="36"/>
      <c r="AW180" s="36"/>
      <c r="AX180" s="36"/>
      <c r="AY180" s="36"/>
      <c r="AZ180" s="36"/>
      <c r="BA180" s="36"/>
      <c r="BB180" s="36"/>
      <c r="BC180" s="36"/>
      <c r="BD180" s="36"/>
      <c r="BE180" s="36"/>
    </row>
    <row r="181" spans="2:57" s="30" customFormat="1" ht="15" x14ac:dyDescent="0.2">
      <c r="B181" s="76" t="s">
        <v>457</v>
      </c>
      <c r="C181" s="156" t="s">
        <v>309</v>
      </c>
      <c r="D181" s="33"/>
      <c r="E181" s="33"/>
      <c r="F181" s="33"/>
      <c r="G181" s="33"/>
      <c r="H181" s="57"/>
      <c r="J181" s="169"/>
      <c r="K181" s="37" t="s">
        <v>297</v>
      </c>
      <c r="L181" s="37" t="s">
        <v>185</v>
      </c>
      <c r="M181" s="40"/>
      <c r="N181" s="40"/>
      <c r="O181" s="259"/>
      <c r="Q181" s="45"/>
      <c r="R181" s="43"/>
      <c r="S181" s="35"/>
      <c r="T181" s="43"/>
      <c r="U181" s="43"/>
      <c r="V181" s="215"/>
      <c r="W181" s="215"/>
      <c r="X181" s="216"/>
      <c r="Y181" s="43"/>
      <c r="Z181" s="216"/>
      <c r="AA181" s="217"/>
      <c r="AB181" s="216"/>
      <c r="AC181" s="216"/>
      <c r="AD181" s="216"/>
      <c r="AE181" s="59"/>
      <c r="AF181" s="178"/>
      <c r="AG181" s="59"/>
      <c r="AH181" s="35"/>
      <c r="AI181" s="35"/>
      <c r="AJ181" s="35"/>
      <c r="AK181" s="104"/>
      <c r="AL181" s="35"/>
      <c r="AM181" s="35"/>
      <c r="AN181" s="36"/>
      <c r="AO181" s="36"/>
      <c r="AP181" s="36"/>
      <c r="AQ181" s="36"/>
      <c r="AR181" s="36"/>
      <c r="AS181" s="36"/>
      <c r="AT181" s="36"/>
      <c r="AU181" s="36"/>
      <c r="AV181" s="36"/>
      <c r="AW181" s="36"/>
      <c r="AX181" s="36"/>
      <c r="AY181" s="36"/>
      <c r="AZ181" s="36"/>
      <c r="BA181" s="36"/>
      <c r="BB181" s="36"/>
      <c r="BC181" s="36"/>
      <c r="BD181" s="36"/>
      <c r="BE181" s="36"/>
    </row>
    <row r="182" spans="2:57" s="30" customFormat="1" ht="15" x14ac:dyDescent="0.2">
      <c r="B182" s="151" t="s">
        <v>492</v>
      </c>
      <c r="C182" s="474" t="s">
        <v>739</v>
      </c>
      <c r="D182" s="474"/>
      <c r="G182" s="152"/>
      <c r="H182" s="81" t="s">
        <v>5</v>
      </c>
      <c r="J182" s="32" t="str">
        <f>IFERROR(VLOOKUP(C182,Kalusto!$B$107:$C$110,2,FALSE),"Valitse kuljetustapa")</f>
        <v>Valitse kuljetustapa</v>
      </c>
      <c r="K182" s="92" t="str">
        <f>IFERROR(IF(ISNUMBER(L182),L182,VLOOKUP(J182,Kalusto!$C$107:$G$110,5,FALSE)),"--")</f>
        <v>--</v>
      </c>
      <c r="L182" s="39"/>
      <c r="M182" s="40" t="s">
        <v>184</v>
      </c>
      <c r="N182" s="40"/>
      <c r="O182" s="259"/>
      <c r="Q182" s="34"/>
      <c r="R182" s="213" t="str">
        <f>IF(AND(ISNUMBER(G182)*ISNUMBER(C178)),K182*G182*X180,"")</f>
        <v/>
      </c>
      <c r="S182" s="98" t="s">
        <v>160</v>
      </c>
      <c r="T182" s="43"/>
      <c r="U182" s="43"/>
      <c r="V182" s="43"/>
      <c r="W182" s="43"/>
      <c r="X182" s="43"/>
      <c r="Y182" s="43"/>
      <c r="Z182" s="43"/>
      <c r="AA182" s="43"/>
      <c r="AB182" s="220"/>
      <c r="AC182" s="43"/>
      <c r="AD182" s="43"/>
      <c r="AE182" s="35"/>
      <c r="AF182" s="35"/>
      <c r="AG182" s="35"/>
      <c r="AH182" s="35"/>
      <c r="AI182" s="35"/>
      <c r="AJ182" s="35"/>
      <c r="AK182" s="35"/>
      <c r="AL182" s="35"/>
      <c r="AM182" s="35"/>
      <c r="AN182" s="36"/>
      <c r="AO182" s="36"/>
      <c r="AP182" s="36"/>
      <c r="AQ182" s="36"/>
      <c r="AR182" s="36"/>
      <c r="AS182" s="36"/>
      <c r="AT182" s="36"/>
      <c r="AU182" s="36"/>
      <c r="AV182" s="36"/>
      <c r="AW182" s="36"/>
      <c r="AX182" s="36"/>
      <c r="AY182" s="36"/>
      <c r="AZ182" s="36"/>
      <c r="BA182" s="36"/>
      <c r="BB182" s="36"/>
      <c r="BC182" s="36"/>
      <c r="BD182" s="36"/>
      <c r="BE182" s="36"/>
    </row>
    <row r="183" spans="2:57" s="30" customFormat="1" ht="15" x14ac:dyDescent="0.2">
      <c r="B183" s="151" t="s">
        <v>492</v>
      </c>
      <c r="C183" s="474" t="s">
        <v>739</v>
      </c>
      <c r="D183" s="474"/>
      <c r="G183" s="152"/>
      <c r="H183" s="81" t="s">
        <v>5</v>
      </c>
      <c r="J183" s="32" t="str">
        <f>IFERROR(VLOOKUP(C183,Kalusto!$B$107:$C$110,2,FALSE),"Valitse kuljetustapa")</f>
        <v>Valitse kuljetustapa</v>
      </c>
      <c r="K183" s="92" t="str">
        <f>IFERROR(IF(ISNUMBER(L183),L183,VLOOKUP(J183,Kalusto!$C$107:$G$110,5,FALSE)),"--")</f>
        <v>--</v>
      </c>
      <c r="L183" s="39"/>
      <c r="M183" s="40" t="s">
        <v>184</v>
      </c>
      <c r="N183" s="40"/>
      <c r="O183" s="259"/>
      <c r="Q183" s="34"/>
      <c r="R183" s="213" t="str">
        <f>IF(AND(ISNUMBER(G183)*ISNUMBER(C178)),K183*G183*X180,"")</f>
        <v/>
      </c>
      <c r="S183" s="98" t="s">
        <v>160</v>
      </c>
      <c r="T183" s="43"/>
      <c r="U183" s="43"/>
      <c r="V183" s="43"/>
      <c r="W183" s="43"/>
      <c r="X183" s="43"/>
      <c r="Y183" s="43"/>
      <c r="Z183" s="43"/>
      <c r="AA183" s="43"/>
      <c r="AB183" s="220"/>
      <c r="AC183" s="43"/>
      <c r="AD183" s="43"/>
      <c r="AE183" s="35"/>
      <c r="AF183" s="35"/>
      <c r="AG183" s="35"/>
      <c r="AH183" s="35"/>
      <c r="AI183" s="35"/>
      <c r="AJ183" s="35"/>
      <c r="AK183" s="35"/>
      <c r="AL183" s="35"/>
      <c r="AM183" s="35"/>
      <c r="AN183" s="36"/>
      <c r="AO183" s="36"/>
      <c r="AP183" s="36"/>
      <c r="AQ183" s="36"/>
      <c r="AR183" s="36"/>
      <c r="AS183" s="36"/>
      <c r="AT183" s="36"/>
      <c r="AU183" s="36"/>
      <c r="AV183" s="36"/>
      <c r="AW183" s="36"/>
      <c r="AX183" s="36"/>
      <c r="AY183" s="36"/>
      <c r="AZ183" s="36"/>
      <c r="BA183" s="36"/>
      <c r="BB183" s="36"/>
      <c r="BC183" s="36"/>
      <c r="BD183" s="36"/>
      <c r="BE183" s="36"/>
    </row>
    <row r="184" spans="2:57" s="30" customFormat="1" ht="15" x14ac:dyDescent="0.2">
      <c r="B184" s="151" t="s">
        <v>492</v>
      </c>
      <c r="C184" s="474" t="s">
        <v>739</v>
      </c>
      <c r="D184" s="474"/>
      <c r="G184" s="152"/>
      <c r="H184" s="81" t="s">
        <v>5</v>
      </c>
      <c r="J184" s="32" t="str">
        <f>IFERROR(VLOOKUP(C184,Kalusto!$B$107:$C$110,2,FALSE),"Valitse kuljetustapa")</f>
        <v>Valitse kuljetustapa</v>
      </c>
      <c r="K184" s="92" t="str">
        <f>IFERROR(IF(ISNUMBER(L184),L184,VLOOKUP(J184,Kalusto!$C$107:$G$110,5,FALSE)),"--")</f>
        <v>--</v>
      </c>
      <c r="L184" s="39"/>
      <c r="M184" s="40" t="s">
        <v>184</v>
      </c>
      <c r="N184" s="40"/>
      <c r="O184" s="259"/>
      <c r="Q184" s="34"/>
      <c r="R184" s="213" t="str">
        <f>IF(AND(ISNUMBER(G184)*ISNUMBER(C178)),K184*G184*X180,"")</f>
        <v/>
      </c>
      <c r="S184" s="98" t="s">
        <v>160</v>
      </c>
      <c r="T184" s="43"/>
      <c r="U184" s="43"/>
      <c r="V184" s="43"/>
      <c r="W184" s="43"/>
      <c r="X184" s="43"/>
      <c r="Y184" s="43"/>
      <c r="Z184" s="43"/>
      <c r="AA184" s="43"/>
      <c r="AB184" s="220"/>
      <c r="AC184" s="43"/>
      <c r="AD184" s="43"/>
      <c r="AE184" s="35"/>
      <c r="AF184" s="35"/>
      <c r="AG184" s="35"/>
      <c r="AH184" s="35"/>
      <c r="AI184" s="35"/>
      <c r="AJ184" s="35"/>
      <c r="AK184" s="35"/>
      <c r="AL184" s="35"/>
      <c r="AM184" s="35"/>
      <c r="AN184" s="36"/>
      <c r="AO184" s="36"/>
      <c r="AP184" s="36"/>
      <c r="AQ184" s="36"/>
      <c r="AR184" s="36"/>
      <c r="AS184" s="36"/>
      <c r="AT184" s="36"/>
      <c r="AU184" s="36"/>
      <c r="AV184" s="36"/>
      <c r="AW184" s="36"/>
      <c r="AX184" s="36"/>
      <c r="AY184" s="36"/>
      <c r="AZ184" s="36"/>
      <c r="BA184" s="36"/>
      <c r="BB184" s="36"/>
      <c r="BC184" s="36"/>
      <c r="BD184" s="36"/>
      <c r="BE184" s="36"/>
    </row>
    <row r="185" spans="2:57" s="30" customFormat="1" ht="15.75" x14ac:dyDescent="0.2">
      <c r="B185" s="8" t="str">
        <f>B144</f>
        <v>Kemikaali-, tuote- tai materiaalilaji 5</v>
      </c>
      <c r="C185" s="33"/>
      <c r="D185" s="81"/>
      <c r="G185" s="70"/>
      <c r="H185" s="81"/>
      <c r="J185" s="32"/>
      <c r="K185" s="33"/>
      <c r="L185" s="33"/>
      <c r="M185" s="81"/>
      <c r="N185" s="81"/>
      <c r="O185" s="96"/>
      <c r="Q185" s="34"/>
      <c r="R185" s="43" t="s">
        <v>318</v>
      </c>
      <c r="S185" s="35"/>
      <c r="T185" s="43"/>
      <c r="U185" s="43"/>
      <c r="V185" s="43"/>
      <c r="W185" s="43"/>
      <c r="X185" s="43"/>
      <c r="Y185" s="43"/>
      <c r="Z185" s="43"/>
      <c r="AA185" s="43"/>
      <c r="AB185" s="220"/>
      <c r="AC185" s="43"/>
      <c r="AD185" s="43"/>
      <c r="AE185" s="35"/>
      <c r="AF185" s="35"/>
      <c r="AG185" s="35"/>
      <c r="AH185" s="35"/>
      <c r="AI185" s="35"/>
      <c r="AJ185" s="35"/>
      <c r="AK185" s="35"/>
      <c r="AL185" s="35"/>
      <c r="AM185" s="35"/>
      <c r="AN185" s="36"/>
      <c r="AO185" s="36"/>
      <c r="AP185" s="36"/>
      <c r="AQ185" s="36"/>
      <c r="AR185" s="36"/>
      <c r="AS185" s="36"/>
      <c r="AT185" s="36"/>
      <c r="AU185" s="36"/>
      <c r="AV185" s="36"/>
      <c r="AW185" s="36"/>
      <c r="AX185" s="36"/>
      <c r="AY185" s="36"/>
      <c r="AZ185" s="36"/>
      <c r="BA185" s="36"/>
      <c r="BB185" s="36"/>
      <c r="BC185" s="36"/>
      <c r="BD185" s="36"/>
      <c r="BE185" s="36"/>
    </row>
    <row r="186" spans="2:57" s="30" customFormat="1" ht="15" x14ac:dyDescent="0.2">
      <c r="B186" s="52" t="s">
        <v>256</v>
      </c>
      <c r="C186" s="156"/>
      <c r="D186" s="81" t="s">
        <v>252</v>
      </c>
      <c r="G186" s="33"/>
      <c r="H186" s="81"/>
      <c r="J186" s="32"/>
      <c r="K186" s="37" t="s">
        <v>297</v>
      </c>
      <c r="L186" s="37" t="s">
        <v>185</v>
      </c>
      <c r="M186" s="81"/>
      <c r="N186" s="81"/>
      <c r="O186" s="96"/>
      <c r="Q186" s="34"/>
      <c r="R186" s="213" t="str">
        <f>IF(AND(ISNUMBER(G187),ISNUMBER(C186)),SUM(R187,R190:R192),"")</f>
        <v/>
      </c>
      <c r="S186" s="98" t="s">
        <v>160</v>
      </c>
      <c r="T186" s="43"/>
      <c r="U186" s="43"/>
      <c r="V186" s="43"/>
      <c r="W186" s="43"/>
      <c r="X186" s="43"/>
      <c r="Y186" s="43"/>
      <c r="Z186" s="43"/>
      <c r="AA186" s="43"/>
      <c r="AB186" s="220"/>
      <c r="AC186" s="43"/>
      <c r="AD186" s="43"/>
      <c r="AE186" s="35"/>
      <c r="AF186" s="35"/>
      <c r="AG186" s="35"/>
      <c r="AH186" s="35"/>
      <c r="AI186" s="35"/>
      <c r="AJ186" s="35"/>
      <c r="AK186" s="35"/>
      <c r="AL186" s="35"/>
      <c r="AM186" s="35"/>
      <c r="AN186" s="36"/>
      <c r="AO186" s="36"/>
      <c r="AP186" s="36"/>
      <c r="AQ186" s="36"/>
      <c r="AR186" s="36"/>
      <c r="AS186" s="36"/>
      <c r="AT186" s="36"/>
      <c r="AU186" s="36"/>
      <c r="AV186" s="36"/>
      <c r="AW186" s="36"/>
      <c r="AX186" s="36"/>
      <c r="AY186" s="36"/>
      <c r="AZ186" s="36"/>
      <c r="BA186" s="36"/>
      <c r="BB186" s="36"/>
      <c r="BC186" s="36"/>
      <c r="BD186" s="36"/>
      <c r="BE186" s="36"/>
    </row>
    <row r="187" spans="2:57" s="30" customFormat="1" ht="30" x14ac:dyDescent="0.2">
      <c r="B187" s="151" t="s">
        <v>660</v>
      </c>
      <c r="C187" s="475" t="s">
        <v>253</v>
      </c>
      <c r="D187" s="476"/>
      <c r="G187" s="152"/>
      <c r="H187" s="81" t="s">
        <v>5</v>
      </c>
      <c r="J187" s="169" t="s">
        <v>395</v>
      </c>
      <c r="K187" s="92" t="str">
        <f>IFERROR(IF(ISNUMBER(L187),L187,(VLOOKUP(C188,Kalusto!$C$45:$G$84,5,FALSE)*(VLOOKUP(C189,Muut!$D$40:$E$43,2,FALSE)))),"--")</f>
        <v>--</v>
      </c>
      <c r="L187" s="39"/>
      <c r="M187" s="40" t="s">
        <v>184</v>
      </c>
      <c r="N187" s="40"/>
      <c r="O187" s="259"/>
      <c r="Q187" s="34"/>
      <c r="R187" s="213" t="str">
        <f>IF(ISNUMBER(Y188*X188*K187),Y188*X188*K187,"")</f>
        <v/>
      </c>
      <c r="S187" s="98" t="s">
        <v>160</v>
      </c>
      <c r="T187" s="43" t="s">
        <v>400</v>
      </c>
      <c r="U187" s="43" t="s">
        <v>349</v>
      </c>
      <c r="V187" s="43" t="s">
        <v>397</v>
      </c>
      <c r="W187" s="43" t="s">
        <v>398</v>
      </c>
      <c r="X187" s="43" t="s">
        <v>401</v>
      </c>
      <c r="Y187" s="43" t="s">
        <v>403</v>
      </c>
      <c r="Z187" s="43" t="s">
        <v>339</v>
      </c>
      <c r="AA187" s="43"/>
      <c r="AB187" s="220"/>
      <c r="AC187" s="43"/>
      <c r="AD187" s="43"/>
      <c r="AE187" s="35"/>
      <c r="AF187" s="35"/>
      <c r="AG187" s="35"/>
      <c r="AH187" s="35"/>
      <c r="AI187" s="35"/>
      <c r="AJ187" s="35"/>
      <c r="AK187" s="35"/>
      <c r="AL187" s="35"/>
      <c r="AM187" s="35"/>
      <c r="AN187" s="36"/>
      <c r="AO187" s="36"/>
      <c r="AP187" s="36"/>
      <c r="AQ187" s="36"/>
      <c r="AR187" s="36"/>
      <c r="AS187" s="36"/>
      <c r="AT187" s="36"/>
      <c r="AU187" s="36"/>
      <c r="AV187" s="36"/>
      <c r="AW187" s="36"/>
      <c r="AX187" s="36"/>
      <c r="AY187" s="36"/>
      <c r="AZ187" s="36"/>
      <c r="BA187" s="36"/>
      <c r="BB187" s="36"/>
      <c r="BC187" s="36"/>
      <c r="BD187" s="36"/>
      <c r="BE187" s="36"/>
    </row>
    <row r="188" spans="2:57" s="30" customFormat="1" ht="15" x14ac:dyDescent="0.2">
      <c r="B188" s="76" t="s">
        <v>342</v>
      </c>
      <c r="C188" s="471" t="s">
        <v>298</v>
      </c>
      <c r="D188" s="472"/>
      <c r="E188" s="472"/>
      <c r="F188" s="472"/>
      <c r="G188" s="473"/>
      <c r="J188" s="32"/>
      <c r="K188" s="37"/>
      <c r="L188" s="37"/>
      <c r="M188" s="40"/>
      <c r="N188" s="40"/>
      <c r="O188" s="259"/>
      <c r="Q188" s="45"/>
      <c r="R188" s="383"/>
      <c r="S188" s="35"/>
      <c r="T188" s="211" t="str">
        <f>IFERROR(IF(ISNUMBER(L187),"Kohdetieto",VLOOKUP(C188,Kalusto!$C$45:$L$84,7,FALSE)),"--")</f>
        <v>--</v>
      </c>
      <c r="U188" s="211" t="str">
        <f>IFERROR(IF(ISNUMBER(L187),"Kohdetieto",VLOOKUP(C188,Kalusto!$C$45:$L$84,8,FALSE)),"--")</f>
        <v>--</v>
      </c>
      <c r="V188" s="212" t="str">
        <f>IFERROR(IF(ISNUMBER(L187),"Kohdetieto",VLOOKUP(C188,Kalusto!$C$45:$L$84,9,FALSE)),"--")</f>
        <v>--</v>
      </c>
      <c r="W188" s="212" t="str">
        <f>IFERROR(IF(ISNUMBER(L187),"Kohdetieto",VLOOKUP(C188,Kalusto!$C$45:$L$84,10,FALSE)),"--")</f>
        <v>--</v>
      </c>
      <c r="X188" s="213" t="str">
        <f>IF(ISBLANK(C186),"",C186/1000)</f>
        <v/>
      </c>
      <c r="Y188" s="211" t="str">
        <f>IF(ISNUMBER(G187),G187,"")</f>
        <v/>
      </c>
      <c r="Z188" s="214" t="str">
        <f>IF(ISNUMBER(L187),L187,K187)</f>
        <v>--</v>
      </c>
      <c r="AA188" s="43"/>
      <c r="AB188" s="220"/>
      <c r="AC188" s="43"/>
      <c r="AD188" s="43"/>
      <c r="AE188" s="35"/>
      <c r="AF188" s="35"/>
      <c r="AG188" s="35"/>
      <c r="AH188" s="35"/>
      <c r="AI188" s="35"/>
      <c r="AJ188" s="35"/>
      <c r="AK188" s="35"/>
      <c r="AL188" s="35"/>
      <c r="AM188" s="35"/>
      <c r="AN188" s="36"/>
      <c r="AO188" s="36"/>
      <c r="AP188" s="36"/>
      <c r="AQ188" s="36"/>
      <c r="AR188" s="36"/>
      <c r="AS188" s="36"/>
      <c r="AT188" s="36"/>
      <c r="AU188" s="36"/>
      <c r="AV188" s="36"/>
      <c r="AW188" s="36"/>
      <c r="AX188" s="36"/>
      <c r="AY188" s="36"/>
      <c r="AZ188" s="36"/>
      <c r="BA188" s="36"/>
      <c r="BB188" s="36"/>
      <c r="BC188" s="36"/>
      <c r="BD188" s="36"/>
      <c r="BE188" s="36"/>
    </row>
    <row r="189" spans="2:57" s="30" customFormat="1" ht="15" x14ac:dyDescent="0.2">
      <c r="B189" s="76" t="s">
        <v>457</v>
      </c>
      <c r="C189" s="156" t="s">
        <v>309</v>
      </c>
      <c r="D189" s="33"/>
      <c r="E189" s="33"/>
      <c r="F189" s="33"/>
      <c r="G189" s="33"/>
      <c r="H189" s="57"/>
      <c r="J189" s="169"/>
      <c r="K189" s="37" t="s">
        <v>297</v>
      </c>
      <c r="L189" s="37" t="s">
        <v>185</v>
      </c>
      <c r="M189" s="40"/>
      <c r="N189" s="40"/>
      <c r="O189" s="259"/>
      <c r="Q189" s="45"/>
      <c r="R189" s="216"/>
      <c r="S189" s="35"/>
      <c r="T189" s="43"/>
      <c r="U189" s="43"/>
      <c r="V189" s="215"/>
      <c r="W189" s="215"/>
      <c r="X189" s="216"/>
      <c r="Y189" s="43"/>
      <c r="Z189" s="216"/>
      <c r="AA189" s="217"/>
      <c r="AB189" s="216"/>
      <c r="AC189" s="216"/>
      <c r="AD189" s="216"/>
      <c r="AE189" s="59"/>
      <c r="AF189" s="178"/>
      <c r="AG189" s="59"/>
      <c r="AH189" s="35"/>
      <c r="AI189" s="35"/>
      <c r="AJ189" s="35"/>
      <c r="AK189" s="104"/>
      <c r="AL189" s="35"/>
      <c r="AM189" s="35"/>
      <c r="AN189" s="36"/>
      <c r="AO189" s="36"/>
      <c r="AP189" s="36"/>
      <c r="AQ189" s="36"/>
      <c r="AR189" s="36"/>
      <c r="AS189" s="36"/>
      <c r="AT189" s="36"/>
      <c r="AU189" s="36"/>
      <c r="AV189" s="36"/>
      <c r="AW189" s="36"/>
      <c r="AX189" s="36"/>
      <c r="AY189" s="36"/>
      <c r="AZ189" s="36"/>
      <c r="BA189" s="36"/>
      <c r="BB189" s="36"/>
      <c r="BC189" s="36"/>
      <c r="BD189" s="36"/>
      <c r="BE189" s="36"/>
    </row>
    <row r="190" spans="2:57" s="30" customFormat="1" ht="15" x14ac:dyDescent="0.2">
      <c r="B190" s="151" t="s">
        <v>492</v>
      </c>
      <c r="C190" s="474" t="s">
        <v>739</v>
      </c>
      <c r="D190" s="474"/>
      <c r="G190" s="152"/>
      <c r="H190" s="81" t="s">
        <v>5</v>
      </c>
      <c r="J190" s="32" t="str">
        <f>IFERROR(VLOOKUP(C190,Kalusto!$B$107:$C$110,2,FALSE),"Valitse kuljetustapa")</f>
        <v>Valitse kuljetustapa</v>
      </c>
      <c r="K190" s="92" t="str">
        <f>IFERROR(IF(ISNUMBER(L190),L190,VLOOKUP(J190,Kalusto!$C$107:$G$110,5,FALSE)),"--")</f>
        <v>--</v>
      </c>
      <c r="L190" s="39"/>
      <c r="M190" s="40" t="s">
        <v>184</v>
      </c>
      <c r="N190" s="40"/>
      <c r="O190" s="259"/>
      <c r="Q190" s="34"/>
      <c r="R190" s="213" t="str">
        <f>IF(AND(ISNUMBER(G190)*ISNUMBER(C186)),K190*G190*X188,"")</f>
        <v/>
      </c>
      <c r="S190" s="98" t="s">
        <v>160</v>
      </c>
      <c r="T190" s="220"/>
      <c r="U190" s="43"/>
      <c r="V190" s="43"/>
      <c r="W190" s="43"/>
      <c r="X190" s="43"/>
      <c r="Y190" s="43"/>
      <c r="Z190" s="43"/>
      <c r="AA190" s="43"/>
      <c r="AB190" s="43"/>
      <c r="AC190" s="43"/>
      <c r="AD190" s="43"/>
      <c r="AE190" s="35"/>
      <c r="AF190" s="35"/>
      <c r="AG190" s="35"/>
      <c r="AH190" s="35"/>
      <c r="AI190" s="35"/>
      <c r="AJ190" s="35"/>
      <c r="AK190" s="35"/>
      <c r="AL190" s="35"/>
      <c r="AM190" s="35"/>
      <c r="AN190" s="36"/>
      <c r="AO190" s="36"/>
      <c r="AP190" s="36"/>
      <c r="AQ190" s="36"/>
      <c r="AR190" s="36"/>
      <c r="AS190" s="36"/>
      <c r="AT190" s="36"/>
      <c r="AU190" s="36"/>
      <c r="AV190" s="36"/>
      <c r="AW190" s="36"/>
      <c r="AX190" s="36"/>
      <c r="AY190" s="36"/>
      <c r="AZ190" s="36"/>
      <c r="BA190" s="36"/>
      <c r="BB190" s="36"/>
      <c r="BC190" s="36"/>
      <c r="BD190" s="36"/>
      <c r="BE190" s="36"/>
    </row>
    <row r="191" spans="2:57" s="30" customFormat="1" ht="15" x14ac:dyDescent="0.2">
      <c r="B191" s="151" t="s">
        <v>492</v>
      </c>
      <c r="C191" s="474" t="s">
        <v>739</v>
      </c>
      <c r="D191" s="474"/>
      <c r="G191" s="152"/>
      <c r="H191" s="81" t="s">
        <v>5</v>
      </c>
      <c r="J191" s="32" t="str">
        <f>IFERROR(VLOOKUP(C191,Kalusto!$B$107:$C$110,2,FALSE),"Valitse kuljetustapa")</f>
        <v>Valitse kuljetustapa</v>
      </c>
      <c r="K191" s="92" t="str">
        <f>IFERROR(IF(ISNUMBER(L191),L191,VLOOKUP(J191,Kalusto!$C$107:$G$110,5,FALSE)),"--")</f>
        <v>--</v>
      </c>
      <c r="L191" s="39"/>
      <c r="M191" s="40" t="s">
        <v>184</v>
      </c>
      <c r="N191" s="40"/>
      <c r="O191" s="259"/>
      <c r="Q191" s="34"/>
      <c r="R191" s="213" t="str">
        <f>IF(AND(ISNUMBER(G191)*ISNUMBER(C186)),K191*G191*X188,"")</f>
        <v/>
      </c>
      <c r="S191" s="98" t="s">
        <v>160</v>
      </c>
      <c r="T191" s="220"/>
      <c r="U191" s="43"/>
      <c r="V191" s="43"/>
      <c r="W191" s="43"/>
      <c r="X191" s="43"/>
      <c r="Y191" s="43"/>
      <c r="Z191" s="43"/>
      <c r="AA191" s="43"/>
      <c r="AB191" s="43"/>
      <c r="AC191" s="43"/>
      <c r="AD191" s="43"/>
      <c r="AE191" s="35"/>
      <c r="AF191" s="35"/>
      <c r="AG191" s="35"/>
      <c r="AH191" s="35"/>
      <c r="AI191" s="35"/>
      <c r="AJ191" s="35"/>
      <c r="AK191" s="35"/>
      <c r="AL191" s="35"/>
      <c r="AM191" s="35"/>
      <c r="AN191" s="36"/>
      <c r="AO191" s="36"/>
      <c r="AP191" s="36"/>
      <c r="AQ191" s="36"/>
      <c r="AR191" s="36"/>
      <c r="AS191" s="36"/>
      <c r="AT191" s="36"/>
      <c r="AU191" s="36"/>
      <c r="AV191" s="36"/>
      <c r="AW191" s="36"/>
      <c r="AX191" s="36"/>
      <c r="AY191" s="36"/>
      <c r="AZ191" s="36"/>
      <c r="BA191" s="36"/>
      <c r="BB191" s="36"/>
      <c r="BC191" s="36"/>
      <c r="BD191" s="36"/>
      <c r="BE191" s="36"/>
    </row>
    <row r="192" spans="2:57" s="30" customFormat="1" ht="15" x14ac:dyDescent="0.2">
      <c r="B192" s="151" t="s">
        <v>492</v>
      </c>
      <c r="C192" s="474" t="s">
        <v>739</v>
      </c>
      <c r="D192" s="474"/>
      <c r="G192" s="152"/>
      <c r="H192" s="81" t="s">
        <v>5</v>
      </c>
      <c r="J192" s="32" t="str">
        <f>IFERROR(VLOOKUP(C192,Kalusto!$B$107:$C$110,2,FALSE),"Valitse kuljetustapa")</f>
        <v>Valitse kuljetustapa</v>
      </c>
      <c r="K192" s="92" t="str">
        <f>IFERROR(IF(ISNUMBER(L192),L192,VLOOKUP(J192,Kalusto!$C$107:$G$110,5,FALSE)),"--")</f>
        <v>--</v>
      </c>
      <c r="L192" s="39"/>
      <c r="M192" s="40" t="s">
        <v>184</v>
      </c>
      <c r="N192" s="40"/>
      <c r="O192" s="259"/>
      <c r="Q192" s="34"/>
      <c r="R192" s="213" t="str">
        <f>IF(AND(ISNUMBER(G192)*ISNUMBER(C186)),K192*G192*X188,"")</f>
        <v/>
      </c>
      <c r="S192" s="98" t="s">
        <v>160</v>
      </c>
      <c r="T192" s="220"/>
      <c r="U192" s="43"/>
      <c r="V192" s="43"/>
      <c r="W192" s="43"/>
      <c r="X192" s="43"/>
      <c r="Y192" s="43"/>
      <c r="Z192" s="43"/>
      <c r="AA192" s="43"/>
      <c r="AB192" s="43"/>
      <c r="AC192" s="43"/>
      <c r="AD192" s="43"/>
      <c r="AE192" s="35"/>
      <c r="AF192" s="35"/>
      <c r="AG192" s="35"/>
      <c r="AH192" s="35"/>
      <c r="AI192" s="35"/>
      <c r="AJ192" s="35"/>
      <c r="AK192" s="35"/>
      <c r="AL192" s="35"/>
      <c r="AM192" s="35"/>
      <c r="AN192" s="36"/>
      <c r="AO192" s="36"/>
      <c r="AP192" s="36"/>
      <c r="AQ192" s="36"/>
      <c r="AR192" s="36"/>
      <c r="AS192" s="36"/>
      <c r="AT192" s="36"/>
      <c r="AU192" s="36"/>
      <c r="AV192" s="36"/>
      <c r="AW192" s="36"/>
      <c r="AX192" s="36"/>
      <c r="AY192" s="36"/>
      <c r="AZ192" s="36"/>
      <c r="BA192" s="36"/>
      <c r="BB192" s="36"/>
      <c r="BC192" s="36"/>
      <c r="BD192" s="36"/>
      <c r="BE192" s="36"/>
    </row>
    <row r="193" spans="2:59" s="30" customFormat="1" ht="15" x14ac:dyDescent="0.2">
      <c r="C193" s="33"/>
      <c r="D193" s="81"/>
      <c r="G193" s="33"/>
      <c r="H193" s="81"/>
      <c r="J193" s="32"/>
      <c r="K193" s="33"/>
      <c r="L193" s="33"/>
      <c r="M193" s="81"/>
      <c r="N193" s="81"/>
      <c r="O193" s="81"/>
      <c r="Q193" s="34"/>
      <c r="R193" s="102"/>
      <c r="S193" s="35"/>
      <c r="T193" s="43"/>
      <c r="U193" s="43"/>
      <c r="V193" s="43"/>
      <c r="W193" s="43"/>
      <c r="X193" s="43"/>
      <c r="Y193" s="43"/>
      <c r="Z193" s="43"/>
      <c r="AA193" s="43"/>
      <c r="AB193" s="43"/>
      <c r="AC193" s="43"/>
      <c r="AD193" s="43"/>
      <c r="AE193" s="35"/>
      <c r="AF193" s="35"/>
      <c r="AG193" s="35"/>
      <c r="AH193" s="35"/>
      <c r="AI193" s="35"/>
      <c r="AJ193" s="35"/>
      <c r="AK193" s="35"/>
      <c r="AL193" s="35"/>
      <c r="AM193" s="35"/>
      <c r="AN193" s="36"/>
      <c r="AO193" s="36"/>
      <c r="AP193" s="36"/>
      <c r="AQ193" s="36"/>
      <c r="AR193" s="36"/>
      <c r="AS193" s="36"/>
      <c r="AT193" s="36"/>
      <c r="AU193" s="36"/>
      <c r="AV193" s="36"/>
      <c r="AW193" s="36"/>
      <c r="AX193" s="36"/>
      <c r="AY193" s="36"/>
      <c r="AZ193" s="36"/>
      <c r="BA193" s="36"/>
      <c r="BB193" s="36"/>
      <c r="BC193" s="36"/>
      <c r="BD193" s="36"/>
      <c r="BE193" s="36"/>
    </row>
    <row r="194" spans="2:59" s="289" customFormat="1" ht="18" x14ac:dyDescent="0.2">
      <c r="B194" s="286" t="s">
        <v>591</v>
      </c>
      <c r="C194" s="287"/>
      <c r="D194" s="288"/>
      <c r="G194" s="287"/>
      <c r="H194" s="288"/>
      <c r="K194" s="287"/>
      <c r="L194" s="287"/>
      <c r="M194" s="288"/>
      <c r="N194" s="288"/>
      <c r="O194" s="291"/>
      <c r="P194" s="311"/>
      <c r="Q194" s="295"/>
      <c r="S194" s="294"/>
      <c r="T194" s="294"/>
      <c r="U194" s="294"/>
      <c r="V194" s="294"/>
      <c r="W194" s="294"/>
      <c r="X194" s="294"/>
      <c r="Y194" s="294"/>
      <c r="Z194" s="294"/>
      <c r="AA194" s="294"/>
      <c r="AB194" s="294"/>
      <c r="AC194" s="294"/>
      <c r="AD194" s="294"/>
      <c r="AE194" s="294"/>
      <c r="AF194" s="294"/>
      <c r="AG194" s="294"/>
      <c r="AH194" s="294"/>
      <c r="AI194" s="294"/>
      <c r="AJ194" s="294"/>
      <c r="AK194" s="294"/>
      <c r="AL194" s="294"/>
      <c r="AM194" s="294"/>
      <c r="AN194" s="295"/>
      <c r="AO194" s="295"/>
      <c r="AP194" s="295"/>
      <c r="AQ194" s="295"/>
      <c r="AR194" s="295"/>
      <c r="AS194" s="295"/>
      <c r="AT194" s="295"/>
      <c r="AU194" s="295"/>
      <c r="AV194" s="295"/>
      <c r="AW194" s="295"/>
      <c r="AX194" s="295"/>
      <c r="AY194" s="295"/>
      <c r="AZ194" s="295"/>
      <c r="BA194" s="295"/>
      <c r="BB194" s="295"/>
      <c r="BC194" s="295"/>
      <c r="BD194" s="295"/>
      <c r="BE194" s="295"/>
    </row>
    <row r="195" spans="2:59" s="30" customFormat="1" ht="15.75" x14ac:dyDescent="0.2">
      <c r="B195" s="8"/>
      <c r="C195" s="33"/>
      <c r="D195" s="81"/>
      <c r="G195" s="33"/>
      <c r="H195" s="81"/>
      <c r="J195" s="32"/>
      <c r="P195" s="67"/>
      <c r="Q195" s="104"/>
      <c r="R195" s="235"/>
      <c r="S195" s="104"/>
      <c r="T195" s="170"/>
      <c r="U195" s="43"/>
      <c r="V195" s="43"/>
      <c r="W195" s="43"/>
      <c r="X195" s="43"/>
      <c r="Y195" s="43"/>
      <c r="Z195" s="43"/>
      <c r="AA195" s="43"/>
      <c r="AB195" s="43"/>
      <c r="AC195" s="43"/>
      <c r="AD195" s="43"/>
      <c r="AE195" s="35"/>
      <c r="AF195" s="35"/>
      <c r="AG195" s="35"/>
      <c r="AH195" s="35"/>
      <c r="AI195" s="35"/>
      <c r="AJ195" s="35"/>
      <c r="AK195" s="35"/>
      <c r="AL195" s="35"/>
      <c r="AM195" s="35"/>
      <c r="AN195" s="35"/>
      <c r="AO195" s="35"/>
      <c r="AP195" s="36"/>
      <c r="AQ195" s="36"/>
      <c r="AR195" s="36"/>
      <c r="AS195" s="36"/>
      <c r="AT195" s="36"/>
      <c r="AU195" s="36"/>
      <c r="AV195" s="36"/>
      <c r="AW195" s="36"/>
      <c r="AX195" s="36"/>
      <c r="AY195" s="36"/>
      <c r="AZ195" s="36"/>
      <c r="BA195" s="36"/>
      <c r="BB195" s="36"/>
      <c r="BC195" s="36"/>
      <c r="BD195" s="36"/>
      <c r="BE195" s="36"/>
      <c r="BF195" s="36"/>
      <c r="BG195" s="36"/>
    </row>
    <row r="196" spans="2:59" s="30" customFormat="1" ht="15" x14ac:dyDescent="0.2">
      <c r="B196" s="160" t="s">
        <v>441</v>
      </c>
      <c r="D196" s="81"/>
      <c r="H196" s="81"/>
      <c r="J196" s="32"/>
      <c r="K196" s="37" t="s">
        <v>297</v>
      </c>
      <c r="L196" s="37" t="s">
        <v>185</v>
      </c>
      <c r="M196" s="81"/>
      <c r="N196" s="81"/>
      <c r="O196" s="249" t="s">
        <v>584</v>
      </c>
      <c r="P196" s="67"/>
      <c r="Q196" s="36"/>
      <c r="R196" s="43" t="s">
        <v>318</v>
      </c>
      <c r="S196" s="35"/>
      <c r="T196" s="43" t="s">
        <v>50</v>
      </c>
      <c r="U196" s="43" t="s">
        <v>319</v>
      </c>
      <c r="V196" s="43" t="s">
        <v>320</v>
      </c>
      <c r="W196" s="220"/>
      <c r="X196" s="43"/>
      <c r="Y196" s="43"/>
      <c r="Z196" s="43"/>
      <c r="AA196" s="43"/>
      <c r="AB196" s="43"/>
      <c r="AC196" s="43"/>
      <c r="AD196" s="43"/>
      <c r="AE196" s="35"/>
      <c r="AF196" s="35"/>
      <c r="AG196" s="35"/>
      <c r="AH196" s="35"/>
      <c r="AI196" s="35"/>
      <c r="AJ196" s="35"/>
      <c r="AK196" s="35"/>
      <c r="AL196" s="35"/>
      <c r="AM196" s="35"/>
      <c r="AN196" s="36"/>
      <c r="AO196" s="36"/>
      <c r="AP196" s="36"/>
      <c r="AQ196" s="36"/>
      <c r="AR196" s="36"/>
      <c r="AS196" s="36"/>
      <c r="AT196" s="36"/>
      <c r="AU196" s="36"/>
      <c r="AV196" s="36"/>
      <c r="AW196" s="36"/>
      <c r="AX196" s="36"/>
      <c r="AY196" s="36"/>
      <c r="AZ196" s="36"/>
      <c r="BA196" s="36"/>
      <c r="BB196" s="36"/>
      <c r="BC196" s="36"/>
      <c r="BD196" s="36"/>
      <c r="BE196" s="36"/>
    </row>
    <row r="197" spans="2:59" s="30" customFormat="1" ht="15" x14ac:dyDescent="0.2">
      <c r="B197" s="52" t="s">
        <v>426</v>
      </c>
      <c r="C197" s="179"/>
      <c r="D197" s="81" t="s">
        <v>194</v>
      </c>
      <c r="H197" s="81"/>
      <c r="J197" s="32" t="s">
        <v>424</v>
      </c>
      <c r="K197" s="92" t="str">
        <f>IFERROR(IF(ISNUMBER(L197),L197,(VLOOKUP(C198,Kalusto!$C$5:$E$42,3,FALSE))*(VLOOKUP(C199,Muut!$D$40:$E$43,2,FALSE))),"--")</f>
        <v>--</v>
      </c>
      <c r="L197" s="39"/>
      <c r="M197" s="40" t="s">
        <v>189</v>
      </c>
      <c r="N197" s="40"/>
      <c r="O197" s="250"/>
      <c r="P197" s="147"/>
      <c r="Q197" s="36"/>
      <c r="R197" s="213" t="str">
        <f>IF(ISNUMBER(K197*V197),K197*V197,"")</f>
        <v/>
      </c>
      <c r="S197" s="98" t="s">
        <v>160</v>
      </c>
      <c r="T197" s="213" t="str">
        <f>IF(ISNUMBER(C197),C197,"")</f>
        <v/>
      </c>
      <c r="U197" s="219" t="str">
        <f>IF(D200="h","",IF(ISNUMBER(C200),C200,""))</f>
        <v/>
      </c>
      <c r="V197" s="213" t="str">
        <f>IF(ISNUMBER(T197),IF(D200="h",C200,IF(ISNUMBER(T197*U197),IF(D200="m3/h",T197/U197,T197*U197),"")),"")</f>
        <v/>
      </c>
      <c r="W197" s="220"/>
      <c r="X197" s="216"/>
      <c r="Y197" s="43"/>
      <c r="Z197" s="43"/>
      <c r="AA197" s="221"/>
      <c r="AB197" s="43"/>
      <c r="AC197" s="43"/>
      <c r="AD197" s="43"/>
      <c r="AE197" s="35"/>
      <c r="AF197" s="35"/>
      <c r="AG197" s="35"/>
      <c r="AH197" s="35"/>
      <c r="AI197" s="35"/>
      <c r="AJ197" s="35"/>
      <c r="AK197" s="35"/>
      <c r="AL197" s="35"/>
      <c r="AM197" s="35"/>
      <c r="AN197" s="36"/>
      <c r="AO197" s="36"/>
      <c r="AP197" s="36"/>
      <c r="AQ197" s="36"/>
      <c r="AR197" s="36"/>
      <c r="AS197" s="36"/>
      <c r="AT197" s="36"/>
      <c r="AU197" s="36"/>
      <c r="AV197" s="36"/>
      <c r="AW197" s="36"/>
      <c r="AX197" s="36"/>
      <c r="AY197" s="36"/>
      <c r="AZ197" s="36"/>
      <c r="BA197" s="36"/>
      <c r="BB197" s="36"/>
      <c r="BC197" s="36"/>
      <c r="BD197" s="36"/>
      <c r="BE197" s="36"/>
    </row>
    <row r="198" spans="2:59" s="30" customFormat="1" ht="15" x14ac:dyDescent="0.2">
      <c r="B198" s="52" t="s">
        <v>461</v>
      </c>
      <c r="C198" s="471" t="s">
        <v>300</v>
      </c>
      <c r="D198" s="472"/>
      <c r="E198" s="472"/>
      <c r="F198" s="472"/>
      <c r="G198" s="473"/>
      <c r="H198" s="81"/>
      <c r="J198" s="32"/>
      <c r="M198" s="81"/>
      <c r="N198" s="81"/>
      <c r="O198" s="96"/>
      <c r="P198" s="67"/>
      <c r="Q198" s="36"/>
      <c r="R198" s="43"/>
      <c r="S198" s="35"/>
      <c r="T198" s="43"/>
      <c r="U198" s="43"/>
      <c r="V198" s="43"/>
      <c r="W198" s="220"/>
      <c r="X198" s="43"/>
      <c r="Y198" s="43"/>
      <c r="Z198" s="43"/>
      <c r="AA198" s="43"/>
      <c r="AB198" s="43"/>
      <c r="AC198" s="43"/>
      <c r="AD198" s="43"/>
      <c r="AE198" s="35"/>
      <c r="AF198" s="35"/>
      <c r="AG198" s="35"/>
      <c r="AH198" s="35"/>
      <c r="AI198" s="35"/>
      <c r="AJ198" s="35"/>
      <c r="AK198" s="35"/>
      <c r="AL198" s="35"/>
      <c r="AM198" s="35"/>
      <c r="AN198" s="36"/>
      <c r="AO198" s="36"/>
      <c r="AP198" s="36"/>
      <c r="AQ198" s="36"/>
      <c r="AR198" s="36"/>
      <c r="AS198" s="36"/>
      <c r="AT198" s="36"/>
      <c r="AU198" s="36"/>
      <c r="AV198" s="36"/>
      <c r="AW198" s="36"/>
      <c r="AX198" s="36"/>
      <c r="AY198" s="36"/>
      <c r="AZ198" s="36"/>
      <c r="BA198" s="36"/>
      <c r="BB198" s="36"/>
      <c r="BC198" s="36"/>
      <c r="BD198" s="36"/>
      <c r="BE198" s="36"/>
    </row>
    <row r="199" spans="2:59" s="30" customFormat="1" ht="15" x14ac:dyDescent="0.2">
      <c r="B199" s="166" t="s">
        <v>460</v>
      </c>
      <c r="C199" s="156" t="s">
        <v>309</v>
      </c>
      <c r="D199" s="33"/>
      <c r="E199" s="33"/>
      <c r="F199" s="33"/>
      <c r="G199" s="33"/>
      <c r="H199" s="57"/>
      <c r="J199" s="169"/>
      <c r="K199" s="169"/>
      <c r="L199" s="169"/>
      <c r="M199" s="40"/>
      <c r="N199" s="40"/>
      <c r="O199" s="259"/>
      <c r="Q199" s="45"/>
      <c r="R199" s="216"/>
      <c r="S199" s="98"/>
      <c r="T199" s="43"/>
      <c r="U199" s="43"/>
      <c r="V199" s="215"/>
      <c r="W199" s="215"/>
      <c r="X199" s="216"/>
      <c r="Y199" s="43"/>
      <c r="Z199" s="216"/>
      <c r="AA199" s="217"/>
      <c r="AB199" s="216"/>
      <c r="AC199" s="216"/>
      <c r="AD199" s="216"/>
      <c r="AE199" s="59"/>
      <c r="AF199" s="178"/>
      <c r="AG199" s="59"/>
      <c r="AH199" s="35"/>
      <c r="AI199" s="35"/>
      <c r="AJ199" s="35"/>
      <c r="AK199" s="104"/>
      <c r="AL199" s="35"/>
      <c r="AM199" s="35"/>
      <c r="AN199" s="36"/>
      <c r="AO199" s="36"/>
      <c r="AP199" s="36"/>
      <c r="AQ199" s="36"/>
      <c r="AR199" s="36"/>
      <c r="AS199" s="36"/>
      <c r="AT199" s="36"/>
      <c r="AU199" s="36"/>
      <c r="AV199" s="36"/>
      <c r="AW199" s="36"/>
      <c r="AX199" s="36"/>
      <c r="AY199" s="36"/>
      <c r="AZ199" s="36"/>
      <c r="BA199" s="36"/>
      <c r="BB199" s="36"/>
      <c r="BC199" s="36"/>
      <c r="BD199" s="36"/>
      <c r="BE199" s="36"/>
    </row>
    <row r="200" spans="2:59" s="30" customFormat="1" ht="30" x14ac:dyDescent="0.2">
      <c r="B200" s="76" t="s">
        <v>462</v>
      </c>
      <c r="C200" s="180"/>
      <c r="D200" s="86" t="s">
        <v>193</v>
      </c>
      <c r="H200" s="81"/>
      <c r="J200" s="32"/>
      <c r="M200" s="81"/>
      <c r="N200" s="81"/>
      <c r="O200" s="96"/>
      <c r="P200" s="145"/>
      <c r="Q200" s="101"/>
      <c r="R200" s="43"/>
      <c r="S200" s="35"/>
      <c r="T200" s="43"/>
      <c r="U200" s="43"/>
      <c r="V200" s="43"/>
      <c r="W200" s="220"/>
      <c r="X200" s="43"/>
      <c r="Y200" s="43"/>
      <c r="Z200" s="43"/>
      <c r="AA200" s="43"/>
      <c r="AB200" s="43"/>
      <c r="AC200" s="43"/>
      <c r="AD200" s="43"/>
      <c r="AE200" s="35"/>
      <c r="AF200" s="35"/>
      <c r="AG200" s="35"/>
      <c r="AH200" s="35"/>
      <c r="AI200" s="35"/>
      <c r="AJ200" s="35"/>
      <c r="AK200" s="35"/>
      <c r="AL200" s="35"/>
      <c r="AM200" s="35"/>
      <c r="AN200" s="36"/>
      <c r="AO200" s="36"/>
      <c r="AP200" s="36"/>
      <c r="AQ200" s="36"/>
      <c r="AR200" s="36"/>
      <c r="AS200" s="36"/>
      <c r="AT200" s="36"/>
      <c r="AU200" s="36"/>
      <c r="AV200" s="36"/>
      <c r="AW200" s="36"/>
      <c r="AX200" s="36"/>
      <c r="AY200" s="36"/>
      <c r="AZ200" s="36"/>
      <c r="BA200" s="36"/>
      <c r="BB200" s="36"/>
      <c r="BC200" s="36"/>
      <c r="BD200" s="36"/>
      <c r="BE200" s="36"/>
    </row>
    <row r="201" spans="2:59" s="30" customFormat="1" ht="15" x14ac:dyDescent="0.2">
      <c r="D201" s="81"/>
      <c r="H201" s="81"/>
      <c r="J201" s="32"/>
      <c r="M201" s="81"/>
      <c r="N201" s="81"/>
      <c r="O201" s="96"/>
      <c r="P201" s="67"/>
      <c r="Q201" s="36"/>
      <c r="R201" s="43"/>
      <c r="S201" s="35"/>
      <c r="T201" s="43"/>
      <c r="U201" s="43"/>
      <c r="V201" s="43"/>
      <c r="W201" s="220"/>
      <c r="X201" s="43"/>
      <c r="Y201" s="43"/>
      <c r="Z201" s="43"/>
      <c r="AA201" s="43"/>
      <c r="AB201" s="43"/>
      <c r="AC201" s="43"/>
      <c r="AD201" s="43"/>
      <c r="AE201" s="35"/>
      <c r="AF201" s="35"/>
      <c r="AG201" s="35"/>
      <c r="AH201" s="35"/>
      <c r="AI201" s="35"/>
      <c r="AJ201" s="35"/>
      <c r="AK201" s="35"/>
      <c r="AL201" s="35"/>
      <c r="AM201" s="35"/>
      <c r="AN201" s="36"/>
      <c r="AO201" s="36"/>
      <c r="AP201" s="36"/>
      <c r="AQ201" s="36"/>
      <c r="AR201" s="36"/>
      <c r="AS201" s="36"/>
      <c r="AT201" s="36"/>
      <c r="AU201" s="36"/>
      <c r="AV201" s="36"/>
      <c r="AW201" s="36"/>
      <c r="AX201" s="36"/>
      <c r="AY201" s="36"/>
      <c r="AZ201" s="36"/>
      <c r="BA201" s="36"/>
      <c r="BB201" s="36"/>
      <c r="BC201" s="36"/>
      <c r="BD201" s="36"/>
      <c r="BE201" s="36"/>
    </row>
    <row r="202" spans="2:59" s="30" customFormat="1" ht="15" x14ac:dyDescent="0.2">
      <c r="B202" s="160" t="s">
        <v>442</v>
      </c>
      <c r="D202" s="81"/>
      <c r="H202" s="81"/>
      <c r="J202" s="32"/>
      <c r="K202" s="37" t="s">
        <v>297</v>
      </c>
      <c r="L202" s="37" t="s">
        <v>185</v>
      </c>
      <c r="M202" s="81"/>
      <c r="N202" s="81"/>
      <c r="O202" s="96"/>
      <c r="P202" s="67"/>
      <c r="Q202" s="36"/>
      <c r="R202" s="43" t="s">
        <v>318</v>
      </c>
      <c r="S202" s="35"/>
      <c r="T202" s="43" t="s">
        <v>50</v>
      </c>
      <c r="U202" s="43" t="s">
        <v>319</v>
      </c>
      <c r="V202" s="43" t="s">
        <v>320</v>
      </c>
      <c r="W202" s="220"/>
      <c r="X202" s="43"/>
      <c r="Y202" s="43"/>
      <c r="Z202" s="43"/>
      <c r="AA202" s="43"/>
      <c r="AB202" s="43"/>
      <c r="AC202" s="43"/>
      <c r="AD202" s="43"/>
      <c r="AE202" s="35"/>
      <c r="AF202" s="35"/>
      <c r="AG202" s="35"/>
      <c r="AH202" s="35"/>
      <c r="AI202" s="35"/>
      <c r="AJ202" s="35"/>
      <c r="AK202" s="35"/>
      <c r="AL202" s="35"/>
      <c r="AM202" s="35"/>
      <c r="AN202" s="36"/>
      <c r="AO202" s="36"/>
      <c r="AP202" s="36"/>
      <c r="AQ202" s="36"/>
      <c r="AR202" s="36"/>
      <c r="AS202" s="36"/>
      <c r="AT202" s="36"/>
      <c r="AU202" s="36"/>
      <c r="AV202" s="36"/>
      <c r="AW202" s="36"/>
      <c r="AX202" s="36"/>
      <c r="AY202" s="36"/>
      <c r="AZ202" s="36"/>
      <c r="BA202" s="36"/>
      <c r="BB202" s="36"/>
      <c r="BC202" s="36"/>
      <c r="BD202" s="36"/>
      <c r="BE202" s="36"/>
    </row>
    <row r="203" spans="2:59" s="30" customFormat="1" ht="15" x14ac:dyDescent="0.2">
      <c r="B203" s="52" t="s">
        <v>426</v>
      </c>
      <c r="C203" s="179"/>
      <c r="D203" s="81" t="s">
        <v>194</v>
      </c>
      <c r="H203" s="81"/>
      <c r="J203" s="32" t="s">
        <v>424</v>
      </c>
      <c r="K203" s="92" t="str">
        <f>IFERROR(IF(ISNUMBER(L203),L203,(VLOOKUP(C204,Kalusto!$C$5:$E$42,3,FALSE))*(VLOOKUP(C205,Muut!$D$40:$E$43,2,FALSE))),"--")</f>
        <v>--</v>
      </c>
      <c r="L203" s="39"/>
      <c r="M203" s="40" t="s">
        <v>189</v>
      </c>
      <c r="N203" s="40"/>
      <c r="O203" s="259"/>
      <c r="P203" s="147"/>
      <c r="Q203" s="36"/>
      <c r="R203" s="213" t="str">
        <f>IF(ISNUMBER(K203*V203),K203*V203,"")</f>
        <v/>
      </c>
      <c r="S203" s="98" t="s">
        <v>160</v>
      </c>
      <c r="T203" s="213" t="str">
        <f>IF(ISNUMBER(C203),C203,"")</f>
        <v/>
      </c>
      <c r="U203" s="219" t="str">
        <f>IF(D206="h","",IF(ISNUMBER(C206),C206,""))</f>
        <v/>
      </c>
      <c r="V203" s="213" t="str">
        <f>IF(ISNUMBER(T203),IF(D206="h",C206,IF(ISNUMBER(T203*U203),IF(D206="m3/h",T203/U203,T203*U203),"")),"")</f>
        <v/>
      </c>
      <c r="W203" s="220"/>
      <c r="X203" s="216"/>
      <c r="Y203" s="43"/>
      <c r="Z203" s="43"/>
      <c r="AA203" s="221"/>
      <c r="AB203" s="43"/>
      <c r="AC203" s="43"/>
      <c r="AD203" s="43"/>
      <c r="AE203" s="35"/>
      <c r="AF203" s="35"/>
      <c r="AG203" s="35"/>
      <c r="AH203" s="35"/>
      <c r="AI203" s="35"/>
      <c r="AJ203" s="35"/>
      <c r="AK203" s="35"/>
      <c r="AL203" s="35"/>
      <c r="AM203" s="35"/>
      <c r="AN203" s="36"/>
      <c r="AO203" s="36"/>
      <c r="AP203" s="36"/>
      <c r="AQ203" s="36"/>
      <c r="AR203" s="36"/>
      <c r="AS203" s="36"/>
      <c r="AT203" s="36"/>
      <c r="AU203" s="36"/>
      <c r="AV203" s="36"/>
      <c r="AW203" s="36"/>
      <c r="AX203" s="36"/>
      <c r="AY203" s="36"/>
      <c r="AZ203" s="36"/>
      <c r="BA203" s="36"/>
      <c r="BB203" s="36"/>
      <c r="BC203" s="36"/>
      <c r="BD203" s="36"/>
      <c r="BE203" s="36"/>
    </row>
    <row r="204" spans="2:59" s="30" customFormat="1" ht="15" x14ac:dyDescent="0.2">
      <c r="B204" s="52" t="s">
        <v>461</v>
      </c>
      <c r="C204" s="471" t="s">
        <v>300</v>
      </c>
      <c r="D204" s="472"/>
      <c r="E204" s="472"/>
      <c r="F204" s="472"/>
      <c r="G204" s="473"/>
      <c r="H204" s="81"/>
      <c r="J204" s="32"/>
      <c r="M204" s="81"/>
      <c r="N204" s="81"/>
      <c r="O204" s="96"/>
      <c r="P204" s="67"/>
      <c r="Q204" s="36"/>
      <c r="R204" s="43"/>
      <c r="S204" s="35"/>
      <c r="T204" s="43"/>
      <c r="U204" s="43"/>
      <c r="V204" s="43"/>
      <c r="W204" s="220"/>
      <c r="X204" s="43"/>
      <c r="Y204" s="43"/>
      <c r="Z204" s="43"/>
      <c r="AA204" s="43"/>
      <c r="AB204" s="43"/>
      <c r="AC204" s="43"/>
      <c r="AD204" s="43"/>
      <c r="AE204" s="35"/>
      <c r="AF204" s="35"/>
      <c r="AG204" s="35"/>
      <c r="AH204" s="35"/>
      <c r="AI204" s="35"/>
      <c r="AJ204" s="35"/>
      <c r="AK204" s="35"/>
      <c r="AL204" s="35"/>
      <c r="AM204" s="35"/>
      <c r="AN204" s="36"/>
      <c r="AO204" s="36"/>
      <c r="AP204" s="36"/>
      <c r="AQ204" s="36"/>
      <c r="AR204" s="36"/>
      <c r="AS204" s="36"/>
      <c r="AT204" s="36"/>
      <c r="AU204" s="36"/>
      <c r="AV204" s="36"/>
      <c r="AW204" s="36"/>
      <c r="AX204" s="36"/>
      <c r="AY204" s="36"/>
      <c r="AZ204" s="36"/>
      <c r="BA204" s="36"/>
      <c r="BB204" s="36"/>
      <c r="BC204" s="36"/>
      <c r="BD204" s="36"/>
      <c r="BE204" s="36"/>
    </row>
    <row r="205" spans="2:59" s="30" customFormat="1" ht="15" x14ac:dyDescent="0.2">
      <c r="B205" s="166" t="s">
        <v>460</v>
      </c>
      <c r="C205" s="156" t="s">
        <v>309</v>
      </c>
      <c r="D205" s="33"/>
      <c r="E205" s="33"/>
      <c r="F205" s="33"/>
      <c r="G205" s="33"/>
      <c r="H205" s="57"/>
      <c r="J205" s="169"/>
      <c r="K205" s="169"/>
      <c r="L205" s="169"/>
      <c r="M205" s="40"/>
      <c r="N205" s="40"/>
      <c r="O205" s="259"/>
      <c r="Q205" s="45"/>
      <c r="R205" s="216"/>
      <c r="S205" s="98"/>
      <c r="T205" s="43"/>
      <c r="U205" s="43"/>
      <c r="V205" s="215"/>
      <c r="W205" s="215"/>
      <c r="X205" s="216"/>
      <c r="Y205" s="43"/>
      <c r="Z205" s="216"/>
      <c r="AA205" s="217"/>
      <c r="AB205" s="216"/>
      <c r="AC205" s="216"/>
      <c r="AD205" s="216"/>
      <c r="AE205" s="59"/>
      <c r="AF205" s="178"/>
      <c r="AG205" s="59"/>
      <c r="AH205" s="35"/>
      <c r="AI205" s="35"/>
      <c r="AJ205" s="35"/>
      <c r="AK205" s="104"/>
      <c r="AL205" s="35"/>
      <c r="AM205" s="35"/>
      <c r="AN205" s="36"/>
      <c r="AO205" s="36"/>
      <c r="AP205" s="36"/>
      <c r="AQ205" s="36"/>
      <c r="AR205" s="36"/>
      <c r="AS205" s="36"/>
      <c r="AT205" s="36"/>
      <c r="AU205" s="36"/>
      <c r="AV205" s="36"/>
      <c r="AW205" s="36"/>
      <c r="AX205" s="36"/>
      <c r="AY205" s="36"/>
      <c r="AZ205" s="36"/>
      <c r="BA205" s="36"/>
      <c r="BB205" s="36"/>
      <c r="BC205" s="36"/>
      <c r="BD205" s="36"/>
      <c r="BE205" s="36"/>
    </row>
    <row r="206" spans="2:59" s="30" customFormat="1" ht="30" x14ac:dyDescent="0.2">
      <c r="B206" s="76" t="s">
        <v>462</v>
      </c>
      <c r="C206" s="180"/>
      <c r="D206" s="86" t="s">
        <v>193</v>
      </c>
      <c r="H206" s="81"/>
      <c r="J206" s="32"/>
      <c r="M206" s="81"/>
      <c r="N206" s="81"/>
      <c r="O206" s="96"/>
      <c r="P206" s="145"/>
      <c r="Q206" s="101"/>
      <c r="R206" s="43"/>
      <c r="S206" s="35"/>
      <c r="T206" s="43"/>
      <c r="U206" s="43"/>
      <c r="V206" s="43"/>
      <c r="W206" s="220"/>
      <c r="X206" s="43"/>
      <c r="Y206" s="43"/>
      <c r="Z206" s="43"/>
      <c r="AA206" s="43"/>
      <c r="AB206" s="43"/>
      <c r="AC206" s="43"/>
      <c r="AD206" s="43"/>
      <c r="AE206" s="35"/>
      <c r="AF206" s="35"/>
      <c r="AG206" s="35"/>
      <c r="AH206" s="35"/>
      <c r="AI206" s="35"/>
      <c r="AJ206" s="35"/>
      <c r="AK206" s="35"/>
      <c r="AL206" s="35"/>
      <c r="AM206" s="35"/>
      <c r="AN206" s="36"/>
      <c r="AO206" s="36"/>
      <c r="AP206" s="36"/>
      <c r="AQ206" s="36"/>
      <c r="AR206" s="36"/>
      <c r="AS206" s="36"/>
      <c r="AT206" s="36"/>
      <c r="AU206" s="36"/>
      <c r="AV206" s="36"/>
      <c r="AW206" s="36"/>
      <c r="AX206" s="36"/>
      <c r="AY206" s="36"/>
      <c r="AZ206" s="36"/>
      <c r="BA206" s="36"/>
      <c r="BB206" s="36"/>
      <c r="BC206" s="36"/>
      <c r="BD206" s="36"/>
      <c r="BE206" s="36"/>
    </row>
    <row r="207" spans="2:59" s="30" customFormat="1" ht="15" x14ac:dyDescent="0.2">
      <c r="D207" s="81"/>
      <c r="H207" s="81"/>
      <c r="J207" s="32"/>
      <c r="M207" s="81"/>
      <c r="N207" s="81"/>
      <c r="O207" s="96"/>
      <c r="Q207" s="34"/>
      <c r="R207" s="43"/>
      <c r="S207" s="35"/>
      <c r="T207" s="43"/>
      <c r="U207" s="43"/>
      <c r="V207" s="43"/>
      <c r="W207" s="220"/>
      <c r="X207" s="43"/>
      <c r="Y207" s="43"/>
      <c r="Z207" s="43"/>
      <c r="AA207" s="43"/>
      <c r="AB207" s="43"/>
      <c r="AC207" s="43"/>
      <c r="AD207" s="43"/>
      <c r="AE207" s="35"/>
      <c r="AF207" s="35"/>
      <c r="AG207" s="35"/>
      <c r="AH207" s="35"/>
      <c r="AI207" s="35"/>
      <c r="AJ207" s="35"/>
      <c r="AK207" s="35"/>
      <c r="AL207" s="35"/>
      <c r="AM207" s="35"/>
      <c r="AN207" s="36"/>
      <c r="AO207" s="36"/>
      <c r="AP207" s="36"/>
      <c r="AQ207" s="36"/>
      <c r="AR207" s="36"/>
      <c r="AS207" s="36"/>
      <c r="AT207" s="36"/>
      <c r="AU207" s="36"/>
      <c r="AV207" s="36"/>
      <c r="AW207" s="36"/>
      <c r="AX207" s="36"/>
      <c r="AY207" s="36"/>
      <c r="AZ207" s="36"/>
      <c r="BA207" s="36"/>
      <c r="BB207" s="36"/>
      <c r="BC207" s="36"/>
      <c r="BD207" s="36"/>
      <c r="BE207" s="36"/>
    </row>
    <row r="208" spans="2:59" s="30" customFormat="1" ht="15" x14ac:dyDescent="0.2">
      <c r="B208" s="160" t="s">
        <v>443</v>
      </c>
      <c r="D208" s="81"/>
      <c r="H208" s="81"/>
      <c r="J208" s="32"/>
      <c r="K208" s="37" t="s">
        <v>297</v>
      </c>
      <c r="L208" s="37" t="s">
        <v>185</v>
      </c>
      <c r="M208" s="81"/>
      <c r="N208" s="81"/>
      <c r="O208" s="96"/>
      <c r="P208" s="67"/>
      <c r="Q208" s="36"/>
      <c r="R208" s="43" t="s">
        <v>318</v>
      </c>
      <c r="S208" s="35"/>
      <c r="T208" s="43" t="s">
        <v>50</v>
      </c>
      <c r="U208" s="43" t="s">
        <v>319</v>
      </c>
      <c r="V208" s="43" t="s">
        <v>320</v>
      </c>
      <c r="W208" s="220"/>
      <c r="X208" s="43"/>
      <c r="Y208" s="43"/>
      <c r="Z208" s="43"/>
      <c r="AA208" s="43"/>
      <c r="AB208" s="43"/>
      <c r="AC208" s="43"/>
      <c r="AD208" s="43"/>
      <c r="AE208" s="35"/>
      <c r="AF208" s="35"/>
      <c r="AG208" s="35"/>
      <c r="AH208" s="35"/>
      <c r="AI208" s="35"/>
      <c r="AJ208" s="35"/>
      <c r="AK208" s="35"/>
      <c r="AL208" s="35"/>
      <c r="AM208" s="35"/>
      <c r="AN208" s="36"/>
      <c r="AO208" s="36"/>
      <c r="AP208" s="36"/>
      <c r="AQ208" s="36"/>
      <c r="AR208" s="36"/>
      <c r="AS208" s="36"/>
      <c r="AT208" s="36"/>
      <c r="AU208" s="36"/>
      <c r="AV208" s="36"/>
      <c r="AW208" s="36"/>
      <c r="AX208" s="36"/>
      <c r="AY208" s="36"/>
      <c r="AZ208" s="36"/>
      <c r="BA208" s="36"/>
      <c r="BB208" s="36"/>
      <c r="BC208" s="36"/>
      <c r="BD208" s="36"/>
      <c r="BE208" s="36"/>
    </row>
    <row r="209" spans="2:57" s="30" customFormat="1" ht="15" x14ac:dyDescent="0.2">
      <c r="B209" s="52" t="s">
        <v>426</v>
      </c>
      <c r="C209" s="179"/>
      <c r="D209" s="81" t="s">
        <v>194</v>
      </c>
      <c r="H209" s="81"/>
      <c r="J209" s="32" t="s">
        <v>424</v>
      </c>
      <c r="K209" s="92" t="str">
        <f>IFERROR(IF(ISNUMBER(L209),L209,(VLOOKUP(C210,Kalusto!$C$5:$E$42,3,FALSE))*(VLOOKUP(C211,Muut!$D$40:$E$43,2,FALSE))),"--")</f>
        <v>--</v>
      </c>
      <c r="L209" s="39"/>
      <c r="M209" s="40" t="s">
        <v>189</v>
      </c>
      <c r="N209" s="40"/>
      <c r="O209" s="259"/>
      <c r="P209" s="147"/>
      <c r="Q209" s="36"/>
      <c r="R209" s="213" t="str">
        <f>IF(ISNUMBER(K209*V209),K209*V209,"")</f>
        <v/>
      </c>
      <c r="S209" s="98" t="s">
        <v>160</v>
      </c>
      <c r="T209" s="213" t="str">
        <f>IF(ISNUMBER(C209),C209,"")</f>
        <v/>
      </c>
      <c r="U209" s="219" t="str">
        <f>IF(D212="h","",IF(ISNUMBER(C212),C212,""))</f>
        <v/>
      </c>
      <c r="V209" s="213" t="str">
        <f>IF(ISNUMBER(T209),IF(D212="h",C212,IF(ISNUMBER(T209*U209),IF(D212="m3/h",T209/U209,T209*U209),"")),"")</f>
        <v/>
      </c>
      <c r="W209" s="220"/>
      <c r="X209" s="216"/>
      <c r="Y209" s="43"/>
      <c r="Z209" s="43"/>
      <c r="AA209" s="221"/>
      <c r="AB209" s="43"/>
      <c r="AC209" s="43"/>
      <c r="AD209" s="43"/>
      <c r="AE209" s="35"/>
      <c r="AF209" s="35"/>
      <c r="AG209" s="35"/>
      <c r="AH209" s="35"/>
      <c r="AI209" s="35"/>
      <c r="AJ209" s="35"/>
      <c r="AK209" s="35"/>
      <c r="AL209" s="35"/>
      <c r="AM209" s="35"/>
      <c r="AN209" s="36"/>
      <c r="AO209" s="36"/>
      <c r="AP209" s="36"/>
      <c r="AQ209" s="36"/>
      <c r="AR209" s="36"/>
      <c r="AS209" s="36"/>
      <c r="AT209" s="36"/>
      <c r="AU209" s="36"/>
      <c r="AV209" s="36"/>
      <c r="AW209" s="36"/>
      <c r="AX209" s="36"/>
      <c r="AY209" s="36"/>
      <c r="AZ209" s="36"/>
      <c r="BA209" s="36"/>
      <c r="BB209" s="36"/>
      <c r="BC209" s="36"/>
      <c r="BD209" s="36"/>
      <c r="BE209" s="36"/>
    </row>
    <row r="210" spans="2:57" s="30" customFormat="1" ht="15" x14ac:dyDescent="0.2">
      <c r="B210" s="52" t="s">
        <v>461</v>
      </c>
      <c r="C210" s="471" t="s">
        <v>300</v>
      </c>
      <c r="D210" s="472"/>
      <c r="E210" s="472"/>
      <c r="F210" s="472"/>
      <c r="G210" s="473"/>
      <c r="H210" s="81"/>
      <c r="J210" s="32"/>
      <c r="M210" s="81"/>
      <c r="N210" s="81"/>
      <c r="O210" s="96"/>
      <c r="P210" s="67"/>
      <c r="Q210" s="36"/>
      <c r="R210" s="43"/>
      <c r="S210" s="35"/>
      <c r="T210" s="43"/>
      <c r="U210" s="43"/>
      <c r="V210" s="43"/>
      <c r="W210" s="220"/>
      <c r="X210" s="43"/>
      <c r="Y210" s="43"/>
      <c r="Z210" s="43"/>
      <c r="AA210" s="43"/>
      <c r="AB210" s="43"/>
      <c r="AC210" s="43"/>
      <c r="AD210" s="43"/>
      <c r="AE210" s="35"/>
      <c r="AF210" s="35"/>
      <c r="AG210" s="35"/>
      <c r="AH210" s="35"/>
      <c r="AI210" s="35"/>
      <c r="AJ210" s="35"/>
      <c r="AK210" s="35"/>
      <c r="AL210" s="35"/>
      <c r="AM210" s="35"/>
      <c r="AN210" s="36"/>
      <c r="AO210" s="36"/>
      <c r="AP210" s="36"/>
      <c r="AQ210" s="36"/>
      <c r="AR210" s="36"/>
      <c r="AS210" s="36"/>
      <c r="AT210" s="36"/>
      <c r="AU210" s="36"/>
      <c r="AV210" s="36"/>
      <c r="AW210" s="36"/>
      <c r="AX210" s="36"/>
      <c r="AY210" s="36"/>
      <c r="AZ210" s="36"/>
      <c r="BA210" s="36"/>
      <c r="BB210" s="36"/>
      <c r="BC210" s="36"/>
      <c r="BD210" s="36"/>
      <c r="BE210" s="36"/>
    </row>
    <row r="211" spans="2:57" s="30" customFormat="1" ht="15" x14ac:dyDescent="0.2">
      <c r="B211" s="166" t="s">
        <v>460</v>
      </c>
      <c r="C211" s="156" t="s">
        <v>309</v>
      </c>
      <c r="D211" s="33"/>
      <c r="E211" s="33"/>
      <c r="F211" s="33"/>
      <c r="G211" s="33"/>
      <c r="H211" s="57"/>
      <c r="J211" s="169"/>
      <c r="K211" s="169"/>
      <c r="L211" s="169"/>
      <c r="M211" s="40"/>
      <c r="N211" s="40"/>
      <c r="O211" s="259"/>
      <c r="Q211" s="45"/>
      <c r="R211" s="216"/>
      <c r="S211" s="98"/>
      <c r="T211" s="43"/>
      <c r="U211" s="43"/>
      <c r="V211" s="215"/>
      <c r="W211" s="215"/>
      <c r="X211" s="216"/>
      <c r="Y211" s="43"/>
      <c r="Z211" s="216"/>
      <c r="AA211" s="217"/>
      <c r="AB211" s="216"/>
      <c r="AC211" s="216"/>
      <c r="AD211" s="216"/>
      <c r="AE211" s="59"/>
      <c r="AF211" s="178"/>
      <c r="AG211" s="59"/>
      <c r="AH211" s="35"/>
      <c r="AI211" s="35"/>
      <c r="AJ211" s="35"/>
      <c r="AK211" s="104"/>
      <c r="AL211" s="35"/>
      <c r="AM211" s="35"/>
      <c r="AN211" s="36"/>
      <c r="AO211" s="36"/>
      <c r="AP211" s="36"/>
      <c r="AQ211" s="36"/>
      <c r="AR211" s="36"/>
      <c r="AS211" s="36"/>
      <c r="AT211" s="36"/>
      <c r="AU211" s="36"/>
      <c r="AV211" s="36"/>
      <c r="AW211" s="36"/>
      <c r="AX211" s="36"/>
      <c r="AY211" s="36"/>
      <c r="AZ211" s="36"/>
      <c r="BA211" s="36"/>
      <c r="BB211" s="36"/>
      <c r="BC211" s="36"/>
      <c r="BD211" s="36"/>
      <c r="BE211" s="36"/>
    </row>
    <row r="212" spans="2:57" s="30" customFormat="1" ht="30" x14ac:dyDescent="0.2">
      <c r="B212" s="76" t="s">
        <v>462</v>
      </c>
      <c r="C212" s="180"/>
      <c r="D212" s="86" t="s">
        <v>193</v>
      </c>
      <c r="H212" s="81"/>
      <c r="J212" s="32"/>
      <c r="M212" s="81"/>
      <c r="N212" s="81"/>
      <c r="O212" s="96"/>
      <c r="P212" s="145"/>
      <c r="Q212" s="101"/>
      <c r="R212" s="43"/>
      <c r="S212" s="35"/>
      <c r="T212" s="43"/>
      <c r="U212" s="43"/>
      <c r="V212" s="43"/>
      <c r="W212" s="220"/>
      <c r="X212" s="43"/>
      <c r="Y212" s="43"/>
      <c r="Z212" s="43"/>
      <c r="AA212" s="43"/>
      <c r="AB212" s="43"/>
      <c r="AC212" s="43"/>
      <c r="AD212" s="43"/>
      <c r="AE212" s="35"/>
      <c r="AF212" s="35"/>
      <c r="AG212" s="35"/>
      <c r="AH212" s="35"/>
      <c r="AI212" s="35"/>
      <c r="AJ212" s="35"/>
      <c r="AK212" s="35"/>
      <c r="AL212" s="35"/>
      <c r="AM212" s="35"/>
      <c r="AN212" s="36"/>
      <c r="AO212" s="36"/>
      <c r="AP212" s="36"/>
      <c r="AQ212" s="36"/>
      <c r="AR212" s="36"/>
      <c r="AS212" s="36"/>
      <c r="AT212" s="36"/>
      <c r="AU212" s="36"/>
      <c r="AV212" s="36"/>
      <c r="AW212" s="36"/>
      <c r="AX212" s="36"/>
      <c r="AY212" s="36"/>
      <c r="AZ212" s="36"/>
      <c r="BA212" s="36"/>
      <c r="BB212" s="36"/>
      <c r="BC212" s="36"/>
      <c r="BD212" s="36"/>
      <c r="BE212" s="36"/>
    </row>
    <row r="213" spans="2:57" s="30" customFormat="1" ht="15" x14ac:dyDescent="0.2">
      <c r="D213" s="81"/>
      <c r="H213" s="81"/>
      <c r="J213" s="32"/>
      <c r="M213" s="81"/>
      <c r="N213" s="81"/>
      <c r="O213" s="96"/>
      <c r="P213" s="67"/>
      <c r="Q213" s="36"/>
      <c r="R213" s="43"/>
      <c r="S213" s="35"/>
      <c r="T213" s="43"/>
      <c r="U213" s="43"/>
      <c r="V213" s="43"/>
      <c r="W213" s="220"/>
      <c r="X213" s="43"/>
      <c r="Y213" s="43"/>
      <c r="Z213" s="43"/>
      <c r="AA213" s="43"/>
      <c r="AB213" s="43"/>
      <c r="AC213" s="43"/>
      <c r="AD213" s="43"/>
      <c r="AE213" s="35"/>
      <c r="AF213" s="35"/>
      <c r="AG213" s="35"/>
      <c r="AH213" s="35"/>
      <c r="AI213" s="35"/>
      <c r="AJ213" s="35"/>
      <c r="AK213" s="35"/>
      <c r="AL213" s="35"/>
      <c r="AM213" s="35"/>
      <c r="AN213" s="36"/>
      <c r="AO213" s="36"/>
      <c r="AP213" s="36"/>
      <c r="AQ213" s="36"/>
      <c r="AR213" s="36"/>
      <c r="AS213" s="36"/>
      <c r="AT213" s="36"/>
      <c r="AU213" s="36"/>
      <c r="AV213" s="36"/>
      <c r="AW213" s="36"/>
      <c r="AX213" s="36"/>
      <c r="AY213" s="36"/>
      <c r="AZ213" s="36"/>
      <c r="BA213" s="36"/>
      <c r="BB213" s="36"/>
      <c r="BC213" s="36"/>
      <c r="BD213" s="36"/>
      <c r="BE213" s="36"/>
    </row>
    <row r="214" spans="2:57" s="30" customFormat="1" ht="15" x14ac:dyDescent="0.2">
      <c r="B214" s="160" t="s">
        <v>542</v>
      </c>
      <c r="D214" s="81"/>
      <c r="H214" s="81"/>
      <c r="J214" s="32"/>
      <c r="K214" s="37" t="s">
        <v>297</v>
      </c>
      <c r="L214" s="37" t="s">
        <v>185</v>
      </c>
      <c r="M214" s="81"/>
      <c r="N214" s="81"/>
      <c r="O214" s="96"/>
      <c r="P214" s="67"/>
      <c r="Q214" s="36"/>
      <c r="R214" s="43" t="s">
        <v>318</v>
      </c>
      <c r="S214" s="35"/>
      <c r="T214" s="43" t="s">
        <v>50</v>
      </c>
      <c r="U214" s="43" t="s">
        <v>319</v>
      </c>
      <c r="V214" s="43" t="s">
        <v>320</v>
      </c>
      <c r="W214" s="220"/>
      <c r="X214" s="43"/>
      <c r="Y214" s="43"/>
      <c r="Z214" s="43"/>
      <c r="AA214" s="43"/>
      <c r="AB214" s="43"/>
      <c r="AC214" s="43"/>
      <c r="AD214" s="43"/>
      <c r="AE214" s="35"/>
      <c r="AF214" s="35"/>
      <c r="AG214" s="35"/>
      <c r="AH214" s="35"/>
      <c r="AI214" s="35"/>
      <c r="AJ214" s="35"/>
      <c r="AK214" s="35"/>
      <c r="AL214" s="35"/>
      <c r="AM214" s="35"/>
      <c r="AN214" s="36"/>
      <c r="AO214" s="36"/>
      <c r="AP214" s="36"/>
      <c r="AQ214" s="36"/>
      <c r="AR214" s="36"/>
      <c r="AS214" s="36"/>
      <c r="AT214" s="36"/>
      <c r="AU214" s="36"/>
      <c r="AV214" s="36"/>
      <c r="AW214" s="36"/>
      <c r="AX214" s="36"/>
      <c r="AY214" s="36"/>
      <c r="AZ214" s="36"/>
      <c r="BA214" s="36"/>
      <c r="BB214" s="36"/>
      <c r="BC214" s="36"/>
      <c r="BD214" s="36"/>
      <c r="BE214" s="36"/>
    </row>
    <row r="215" spans="2:57" s="30" customFormat="1" ht="15" x14ac:dyDescent="0.2">
      <c r="B215" s="52" t="s">
        <v>426</v>
      </c>
      <c r="C215" s="179"/>
      <c r="D215" s="81" t="s">
        <v>194</v>
      </c>
      <c r="H215" s="81"/>
      <c r="J215" s="32" t="s">
        <v>424</v>
      </c>
      <c r="K215" s="92" t="str">
        <f>IFERROR(IF(ISNUMBER(L215),L215,(VLOOKUP(C216,Kalusto!$C$5:$E$42,3,FALSE))*(VLOOKUP(C217,Muut!$D$40:$E$43,2,FALSE))),"--")</f>
        <v>--</v>
      </c>
      <c r="L215" s="39"/>
      <c r="M215" s="40" t="s">
        <v>189</v>
      </c>
      <c r="N215" s="40"/>
      <c r="O215" s="259"/>
      <c r="P215" s="147"/>
      <c r="Q215" s="36"/>
      <c r="R215" s="213" t="str">
        <f>IF(ISNUMBER(K215*V215),K215*V215,"")</f>
        <v/>
      </c>
      <c r="S215" s="98" t="s">
        <v>160</v>
      </c>
      <c r="T215" s="213" t="str">
        <f>IF(ISNUMBER(C215),C215,"")</f>
        <v/>
      </c>
      <c r="U215" s="219" t="str">
        <f>IF(D218="h","",IF(ISNUMBER(C218),C218,""))</f>
        <v/>
      </c>
      <c r="V215" s="213" t="str">
        <f>IF(ISNUMBER(T215),IF(D218="h",C218,IF(ISNUMBER(T215*U215),IF(D218="m3/h",T215/U215,T215*U215),"")),"")</f>
        <v/>
      </c>
      <c r="W215" s="220"/>
      <c r="X215" s="216"/>
      <c r="Y215" s="43"/>
      <c r="Z215" s="43"/>
      <c r="AA215" s="221"/>
      <c r="AB215" s="43"/>
      <c r="AC215" s="43"/>
      <c r="AD215" s="43"/>
      <c r="AE215" s="35"/>
      <c r="AF215" s="35"/>
      <c r="AG215" s="35"/>
      <c r="AH215" s="35"/>
      <c r="AI215" s="35"/>
      <c r="AJ215" s="35"/>
      <c r="AK215" s="35"/>
      <c r="AL215" s="35"/>
      <c r="AM215" s="35"/>
      <c r="AN215" s="36"/>
      <c r="AO215" s="36"/>
      <c r="AP215" s="36"/>
      <c r="AQ215" s="36"/>
      <c r="AR215" s="36"/>
      <c r="AS215" s="36"/>
      <c r="AT215" s="36"/>
      <c r="AU215" s="36"/>
      <c r="AV215" s="36"/>
      <c r="AW215" s="36"/>
      <c r="AX215" s="36"/>
      <c r="AY215" s="36"/>
      <c r="AZ215" s="36"/>
      <c r="BA215" s="36"/>
      <c r="BB215" s="36"/>
      <c r="BC215" s="36"/>
      <c r="BD215" s="36"/>
      <c r="BE215" s="36"/>
    </row>
    <row r="216" spans="2:57" s="30" customFormat="1" ht="15" x14ac:dyDescent="0.2">
      <c r="B216" s="52" t="s">
        <v>461</v>
      </c>
      <c r="C216" s="471" t="s">
        <v>300</v>
      </c>
      <c r="D216" s="472"/>
      <c r="E216" s="472"/>
      <c r="F216" s="472"/>
      <c r="G216" s="473"/>
      <c r="H216" s="81"/>
      <c r="J216" s="32"/>
      <c r="M216" s="81"/>
      <c r="N216" s="81"/>
      <c r="O216" s="96"/>
      <c r="P216" s="67"/>
      <c r="Q216" s="36"/>
      <c r="R216" s="43"/>
      <c r="S216" s="35"/>
      <c r="T216" s="43"/>
      <c r="U216" s="43"/>
      <c r="V216" s="43"/>
      <c r="W216" s="220"/>
      <c r="X216" s="43"/>
      <c r="Y216" s="43"/>
      <c r="Z216" s="43"/>
      <c r="AA216" s="43"/>
      <c r="AB216" s="43"/>
      <c r="AC216" s="43"/>
      <c r="AD216" s="43"/>
      <c r="AE216" s="35"/>
      <c r="AF216" s="35"/>
      <c r="AG216" s="35"/>
      <c r="AH216" s="35"/>
      <c r="AI216" s="35"/>
      <c r="AJ216" s="35"/>
      <c r="AK216" s="35"/>
      <c r="AL216" s="35"/>
      <c r="AM216" s="35"/>
      <c r="AN216" s="36"/>
      <c r="AO216" s="36"/>
      <c r="AP216" s="36"/>
      <c r="AQ216" s="36"/>
      <c r="AR216" s="36"/>
      <c r="AS216" s="36"/>
      <c r="AT216" s="36"/>
      <c r="AU216" s="36"/>
      <c r="AV216" s="36"/>
      <c r="AW216" s="36"/>
      <c r="AX216" s="36"/>
      <c r="AY216" s="36"/>
      <c r="AZ216" s="36"/>
      <c r="BA216" s="36"/>
      <c r="BB216" s="36"/>
      <c r="BC216" s="36"/>
      <c r="BD216" s="36"/>
      <c r="BE216" s="36"/>
    </row>
    <row r="217" spans="2:57" s="30" customFormat="1" ht="15" x14ac:dyDescent="0.2">
      <c r="B217" s="166" t="s">
        <v>460</v>
      </c>
      <c r="C217" s="156" t="s">
        <v>309</v>
      </c>
      <c r="D217" s="33"/>
      <c r="E217" s="33"/>
      <c r="F217" s="33"/>
      <c r="G217" s="33"/>
      <c r="H217" s="57"/>
      <c r="J217" s="169"/>
      <c r="K217" s="169"/>
      <c r="L217" s="169"/>
      <c r="M217" s="40"/>
      <c r="N217" s="40"/>
      <c r="O217" s="259"/>
      <c r="Q217" s="45"/>
      <c r="R217" s="216"/>
      <c r="S217" s="98"/>
      <c r="T217" s="43"/>
      <c r="U217" s="43"/>
      <c r="V217" s="215"/>
      <c r="W217" s="215"/>
      <c r="X217" s="216"/>
      <c r="Y217" s="43"/>
      <c r="Z217" s="216"/>
      <c r="AA217" s="217"/>
      <c r="AB217" s="216"/>
      <c r="AC217" s="216"/>
      <c r="AD217" s="216"/>
      <c r="AE217" s="59"/>
      <c r="AF217" s="178"/>
      <c r="AG217" s="59"/>
      <c r="AH217" s="35"/>
      <c r="AI217" s="35"/>
      <c r="AJ217" s="35"/>
      <c r="AK217" s="104"/>
      <c r="AL217" s="35"/>
      <c r="AM217" s="35"/>
      <c r="AN217" s="36"/>
      <c r="AO217" s="36"/>
      <c r="AP217" s="36"/>
      <c r="AQ217" s="36"/>
      <c r="AR217" s="36"/>
      <c r="AS217" s="36"/>
      <c r="AT217" s="36"/>
      <c r="AU217" s="36"/>
      <c r="AV217" s="36"/>
      <c r="AW217" s="36"/>
      <c r="AX217" s="36"/>
      <c r="AY217" s="36"/>
      <c r="AZ217" s="36"/>
      <c r="BA217" s="36"/>
      <c r="BB217" s="36"/>
      <c r="BC217" s="36"/>
      <c r="BD217" s="36"/>
      <c r="BE217" s="36"/>
    </row>
    <row r="218" spans="2:57" s="30" customFormat="1" ht="30" x14ac:dyDescent="0.2">
      <c r="B218" s="76" t="s">
        <v>462</v>
      </c>
      <c r="C218" s="180"/>
      <c r="D218" s="86" t="s">
        <v>193</v>
      </c>
      <c r="H218" s="81"/>
      <c r="J218" s="32"/>
      <c r="M218" s="81"/>
      <c r="N218" s="81"/>
      <c r="O218" s="96"/>
      <c r="P218" s="145"/>
      <c r="Q218" s="101"/>
      <c r="R218" s="43"/>
      <c r="S218" s="35"/>
      <c r="T218" s="43"/>
      <c r="U218" s="43"/>
      <c r="V218" s="43"/>
      <c r="W218" s="220"/>
      <c r="X218" s="43"/>
      <c r="Y218" s="43"/>
      <c r="Z218" s="43"/>
      <c r="AA218" s="43"/>
      <c r="AB218" s="43"/>
      <c r="AC218" s="43"/>
      <c r="AD218" s="43"/>
      <c r="AE218" s="35"/>
      <c r="AF218" s="35"/>
      <c r="AG218" s="35"/>
      <c r="AH218" s="35"/>
      <c r="AI218" s="35"/>
      <c r="AJ218" s="35"/>
      <c r="AK218" s="35"/>
      <c r="AL218" s="35"/>
      <c r="AM218" s="35"/>
      <c r="AN218" s="36"/>
      <c r="AO218" s="36"/>
      <c r="AP218" s="36"/>
      <c r="AQ218" s="36"/>
      <c r="AR218" s="36"/>
      <c r="AS218" s="36"/>
      <c r="AT218" s="36"/>
      <c r="AU218" s="36"/>
      <c r="AV218" s="36"/>
      <c r="AW218" s="36"/>
      <c r="AX218" s="36"/>
      <c r="AY218" s="36"/>
      <c r="AZ218" s="36"/>
      <c r="BA218" s="36"/>
      <c r="BB218" s="36"/>
      <c r="BC218" s="36"/>
      <c r="BD218" s="36"/>
      <c r="BE218" s="36"/>
    </row>
    <row r="219" spans="2:57" s="30" customFormat="1" ht="15" x14ac:dyDescent="0.2">
      <c r="D219" s="81"/>
      <c r="H219" s="81"/>
      <c r="J219" s="32"/>
      <c r="M219" s="81"/>
      <c r="N219" s="81"/>
      <c r="O219" s="81"/>
      <c r="Q219" s="34"/>
      <c r="R219" s="102"/>
      <c r="S219" s="35"/>
      <c r="T219" s="43"/>
      <c r="U219" s="43"/>
      <c r="V219" s="43"/>
      <c r="W219" s="43"/>
      <c r="X219" s="43"/>
      <c r="Y219" s="43"/>
      <c r="Z219" s="43"/>
      <c r="AA219" s="43"/>
      <c r="AB219" s="43"/>
      <c r="AC219" s="43"/>
      <c r="AD219" s="43"/>
      <c r="AE219" s="35"/>
      <c r="AF219" s="35"/>
      <c r="AG219" s="35"/>
      <c r="AH219" s="35"/>
      <c r="AI219" s="35"/>
      <c r="AJ219" s="35"/>
      <c r="AK219" s="35"/>
      <c r="AL219" s="35"/>
      <c r="AM219" s="35"/>
      <c r="AN219" s="36"/>
      <c r="AO219" s="36"/>
      <c r="AP219" s="36"/>
      <c r="AQ219" s="36"/>
      <c r="AR219" s="36"/>
      <c r="AS219" s="36"/>
      <c r="AT219" s="36"/>
      <c r="AU219" s="36"/>
      <c r="AV219" s="36"/>
      <c r="AW219" s="36"/>
      <c r="AX219" s="36"/>
      <c r="AY219" s="36"/>
      <c r="AZ219" s="36"/>
      <c r="BA219" s="36"/>
      <c r="BB219" s="36"/>
      <c r="BC219" s="36"/>
      <c r="BD219" s="36"/>
      <c r="BE219" s="36"/>
    </row>
    <row r="220" spans="2:57" s="289" customFormat="1" ht="18" x14ac:dyDescent="0.2">
      <c r="B220" s="286" t="s">
        <v>482</v>
      </c>
      <c r="C220" s="287"/>
      <c r="D220" s="288"/>
      <c r="G220" s="287"/>
      <c r="H220" s="288"/>
      <c r="K220" s="287"/>
      <c r="L220" s="287"/>
      <c r="M220" s="288"/>
      <c r="N220" s="288"/>
      <c r="O220" s="291"/>
      <c r="P220" s="311"/>
      <c r="Q220" s="295"/>
      <c r="S220" s="294"/>
      <c r="T220" s="294"/>
      <c r="U220" s="294"/>
      <c r="V220" s="294"/>
      <c r="W220" s="294"/>
      <c r="X220" s="294"/>
      <c r="Y220" s="294"/>
      <c r="Z220" s="294"/>
      <c r="AA220" s="294"/>
      <c r="AB220" s="294"/>
      <c r="AC220" s="294"/>
      <c r="AD220" s="294"/>
      <c r="AE220" s="294"/>
      <c r="AF220" s="294"/>
      <c r="AG220" s="294"/>
      <c r="AH220" s="294"/>
      <c r="AI220" s="294"/>
      <c r="AJ220" s="294"/>
      <c r="AK220" s="294"/>
      <c r="AL220" s="294"/>
      <c r="AM220" s="294"/>
      <c r="AN220" s="295"/>
      <c r="AO220" s="295"/>
      <c r="AP220" s="295"/>
      <c r="AQ220" s="295"/>
      <c r="AR220" s="295"/>
      <c r="AS220" s="295"/>
      <c r="AT220" s="295"/>
      <c r="AU220" s="295"/>
      <c r="AV220" s="295"/>
      <c r="AW220" s="295"/>
      <c r="AX220" s="295"/>
      <c r="AY220" s="295"/>
      <c r="AZ220" s="295"/>
      <c r="BA220" s="295"/>
      <c r="BB220" s="295"/>
      <c r="BC220" s="295"/>
      <c r="BD220" s="295"/>
      <c r="BE220" s="295"/>
    </row>
    <row r="221" spans="2:57" s="30" customFormat="1" ht="15.75" x14ac:dyDescent="0.2">
      <c r="B221" s="8"/>
      <c r="C221" s="33"/>
      <c r="D221" s="81"/>
      <c r="G221" s="33"/>
      <c r="H221" s="81"/>
      <c r="J221" s="32"/>
      <c r="M221" s="81"/>
      <c r="N221" s="81"/>
      <c r="O221" s="249" t="s">
        <v>584</v>
      </c>
      <c r="Q221" s="34"/>
      <c r="R221" s="43" t="s">
        <v>318</v>
      </c>
      <c r="S221" s="35"/>
      <c r="T221" s="43"/>
      <c r="U221" s="43"/>
      <c r="V221" s="43"/>
      <c r="W221" s="43"/>
      <c r="X221" s="43"/>
      <c r="Y221" s="43"/>
      <c r="Z221" s="43"/>
      <c r="AA221" s="43"/>
      <c r="AB221" s="43"/>
      <c r="AC221" s="43"/>
      <c r="AD221" s="43"/>
      <c r="AE221" s="35"/>
      <c r="AF221" s="35"/>
      <c r="AG221" s="35"/>
      <c r="AH221" s="35"/>
      <c r="AI221" s="35"/>
      <c r="AJ221" s="35"/>
      <c r="AK221" s="35"/>
      <c r="AL221" s="35"/>
      <c r="AM221" s="35"/>
      <c r="AN221" s="36"/>
      <c r="AO221" s="36"/>
      <c r="AP221" s="36"/>
      <c r="AQ221" s="36"/>
      <c r="AR221" s="36"/>
      <c r="AS221" s="36"/>
      <c r="AT221" s="36"/>
      <c r="AU221" s="36"/>
      <c r="AV221" s="36"/>
      <c r="AW221" s="36"/>
      <c r="AX221" s="36"/>
      <c r="AY221" s="36"/>
      <c r="AZ221" s="36"/>
      <c r="BA221" s="36"/>
      <c r="BB221" s="36"/>
      <c r="BC221" s="36"/>
      <c r="BD221" s="36"/>
      <c r="BE221" s="36"/>
    </row>
    <row r="222" spans="2:57" s="30" customFormat="1" ht="15" customHeight="1" x14ac:dyDescent="0.2">
      <c r="B222" s="30" t="s">
        <v>753</v>
      </c>
      <c r="J222" s="32"/>
      <c r="K222" s="37"/>
      <c r="L222" s="37"/>
      <c r="M222" s="81"/>
      <c r="N222" s="81"/>
      <c r="O222" s="249"/>
      <c r="Q222" s="34"/>
      <c r="R222" s="35"/>
      <c r="S222" s="35"/>
      <c r="T222" s="35"/>
      <c r="U222" s="35"/>
      <c r="V222" s="35"/>
      <c r="W222" s="35"/>
      <c r="X222" s="35"/>
      <c r="Y222" s="35"/>
      <c r="Z222" s="35"/>
      <c r="AA222" s="35"/>
      <c r="AB222" s="35"/>
      <c r="AC222" s="35"/>
      <c r="AD222" s="35"/>
      <c r="AE222" s="35"/>
      <c r="AF222" s="35"/>
      <c r="AG222" s="35"/>
      <c r="AH222" s="35"/>
      <c r="AI222" s="35"/>
      <c r="AJ222" s="35"/>
      <c r="AK222" s="36"/>
      <c r="AL222" s="36"/>
      <c r="AM222" s="36"/>
      <c r="AN222" s="36"/>
      <c r="AO222" s="36"/>
      <c r="AP222" s="36"/>
      <c r="AQ222" s="36"/>
      <c r="AR222" s="36"/>
      <c r="AS222" s="36"/>
      <c r="AT222" s="36"/>
      <c r="AU222" s="36"/>
      <c r="AV222" s="36"/>
      <c r="AW222" s="36"/>
      <c r="AX222" s="36"/>
      <c r="AY222" s="36"/>
      <c r="AZ222" s="36"/>
      <c r="BA222" s="36"/>
      <c r="BB222" s="36"/>
    </row>
    <row r="223" spans="2:57" s="30" customFormat="1" ht="15" customHeight="1" x14ac:dyDescent="0.2">
      <c r="J223" s="32"/>
      <c r="K223" s="37" t="s">
        <v>297</v>
      </c>
      <c r="L223" s="37" t="s">
        <v>185</v>
      </c>
      <c r="M223" s="81"/>
      <c r="N223" s="81"/>
      <c r="O223" s="249"/>
      <c r="Q223" s="34"/>
      <c r="R223" s="35"/>
      <c r="S223" s="35"/>
      <c r="T223" s="35"/>
      <c r="U223" s="35"/>
      <c r="V223" s="35"/>
      <c r="W223" s="35"/>
      <c r="X223" s="35"/>
      <c r="Y223" s="35"/>
      <c r="Z223" s="35"/>
      <c r="AA223" s="35"/>
      <c r="AB223" s="35"/>
      <c r="AC223" s="35"/>
      <c r="AD223" s="35"/>
      <c r="AE223" s="35"/>
      <c r="AF223" s="35"/>
      <c r="AG223" s="35"/>
      <c r="AH223" s="35"/>
      <c r="AI223" s="35"/>
      <c r="AJ223" s="35"/>
      <c r="AK223" s="36"/>
      <c r="AL223" s="36"/>
      <c r="AM223" s="36"/>
      <c r="AN223" s="36"/>
      <c r="AO223" s="36"/>
      <c r="AP223" s="36"/>
      <c r="AQ223" s="36"/>
      <c r="AR223" s="36"/>
      <c r="AS223" s="36"/>
      <c r="AT223" s="36"/>
      <c r="AU223" s="36"/>
      <c r="AV223" s="36"/>
      <c r="AW223" s="36"/>
      <c r="AX223" s="36"/>
      <c r="AY223" s="36"/>
      <c r="AZ223" s="36"/>
      <c r="BA223" s="36"/>
      <c r="BB223" s="36"/>
    </row>
    <row r="224" spans="2:57" s="30" customFormat="1" ht="30" x14ac:dyDescent="0.2">
      <c r="B224" s="76" t="s">
        <v>550</v>
      </c>
      <c r="C224" s="471" t="s">
        <v>738</v>
      </c>
      <c r="D224" s="473"/>
      <c r="G224" s="33"/>
      <c r="H224" s="81"/>
      <c r="J224" s="32" t="s">
        <v>483</v>
      </c>
      <c r="K224" s="446" t="str">
        <f>IF(ISNUMBER(L224),L224,IF(C224="Ostosähkö",(Muut!$F$11+Muut!$F$13)/1000,IF(C224="Aurinkopaneelit",(Muut!$F$25+Muut!$F$26)/1000,IF(OR(C224="Bensiini",C224="Diesel"),(Muut!$F$16+Muut!$F$15+Muut!$F$18+Muut!$F$19)/2,IF(C224="Aggregaatti","Aggregaatin kerroin","--")))))</f>
        <v>--</v>
      </c>
      <c r="L224" s="71"/>
      <c r="M224" s="83" t="s">
        <v>484</v>
      </c>
      <c r="N224" s="83"/>
      <c r="O224" s="250"/>
      <c r="Q224" s="34"/>
      <c r="R224" s="236" t="str">
        <f>IF(ISNUMBER(R228),R228,IF(ISNUMBER(R230),R230,""))</f>
        <v/>
      </c>
      <c r="S224" s="98" t="s">
        <v>160</v>
      </c>
      <c r="T224" s="43"/>
      <c r="U224" s="43"/>
      <c r="V224" s="43"/>
      <c r="W224" s="43"/>
      <c r="X224" s="43"/>
      <c r="Y224" s="43"/>
      <c r="Z224" s="43"/>
      <c r="AA224" s="43"/>
      <c r="AB224" s="43"/>
      <c r="AC224" s="43"/>
      <c r="AD224" s="43"/>
      <c r="AE224" s="35"/>
      <c r="AF224" s="35"/>
      <c r="AG224" s="35"/>
      <c r="AH224" s="35"/>
      <c r="AI224" s="35"/>
      <c r="AJ224" s="35"/>
      <c r="AK224" s="35"/>
      <c r="AL224" s="35"/>
      <c r="AM224" s="35"/>
      <c r="AN224" s="36"/>
      <c r="AO224" s="36"/>
      <c r="AP224" s="36"/>
      <c r="AQ224" s="36"/>
      <c r="AR224" s="36"/>
      <c r="AS224" s="36"/>
      <c r="AT224" s="36"/>
      <c r="AU224" s="36"/>
      <c r="AV224" s="36"/>
      <c r="AW224" s="36"/>
      <c r="AX224" s="36"/>
      <c r="AY224" s="36"/>
      <c r="AZ224" s="36"/>
      <c r="BA224" s="36"/>
      <c r="BB224" s="36"/>
      <c r="BC224" s="36"/>
      <c r="BD224" s="36"/>
      <c r="BE224" s="36"/>
    </row>
    <row r="225" spans="2:59" s="30" customFormat="1" ht="15" x14ac:dyDescent="0.2">
      <c r="B225" s="166" t="s">
        <v>485</v>
      </c>
      <c r="C225" s="156"/>
      <c r="D225" s="81" t="s">
        <v>8</v>
      </c>
      <c r="G225" s="33"/>
      <c r="H225" s="81"/>
      <c r="J225" s="32" t="s">
        <v>486</v>
      </c>
      <c r="K225" s="382">
        <f>IF(ISNUMBER(L225),L225,IF(OR(C224="Bensiini",C224="Diesel"),Muut!$F$35,Muut!$F$36))</f>
        <v>0.4</v>
      </c>
      <c r="L225" s="384" t="str">
        <f>IF(ISNUMBER(C225),C225/100,"--")</f>
        <v>--</v>
      </c>
      <c r="M225" s="83"/>
      <c r="N225" s="83"/>
      <c r="O225" s="260"/>
      <c r="Q225" s="34"/>
      <c r="R225" s="216"/>
      <c r="S225" s="98"/>
      <c r="T225" s="43"/>
      <c r="U225" s="43"/>
      <c r="V225" s="43"/>
      <c r="W225" s="43"/>
      <c r="X225" s="43"/>
      <c r="Y225" s="43"/>
      <c r="Z225" s="43"/>
      <c r="AA225" s="43"/>
      <c r="AB225" s="43"/>
      <c r="AC225" s="43"/>
      <c r="AD225" s="43"/>
      <c r="AE225" s="35"/>
      <c r="AF225" s="35"/>
      <c r="AG225" s="35"/>
      <c r="AH225" s="35"/>
      <c r="AI225" s="35"/>
      <c r="AJ225" s="35"/>
      <c r="AK225" s="35"/>
      <c r="AL225" s="35"/>
      <c r="AM225" s="35"/>
      <c r="AN225" s="36"/>
      <c r="AO225" s="36"/>
      <c r="AP225" s="36"/>
      <c r="AQ225" s="36"/>
      <c r="AR225" s="36"/>
      <c r="AS225" s="36"/>
      <c r="AT225" s="36"/>
      <c r="AU225" s="36"/>
      <c r="AV225" s="36"/>
      <c r="AW225" s="36"/>
      <c r="AX225" s="36"/>
      <c r="AY225" s="36"/>
      <c r="AZ225" s="36"/>
      <c r="BA225" s="36"/>
      <c r="BB225" s="36"/>
      <c r="BC225" s="36"/>
      <c r="BD225" s="36"/>
      <c r="BE225" s="36"/>
    </row>
    <row r="226" spans="2:59" s="30" customFormat="1" ht="15" x14ac:dyDescent="0.2">
      <c r="B226" s="52" t="s">
        <v>432</v>
      </c>
      <c r="C226" s="156"/>
      <c r="D226" s="86" t="s">
        <v>269</v>
      </c>
      <c r="G226" s="77"/>
      <c r="H226" s="81"/>
      <c r="M226" s="81"/>
      <c r="N226" s="81"/>
      <c r="O226" s="96"/>
      <c r="Q226" s="34"/>
      <c r="R226" s="102"/>
      <c r="S226" s="35"/>
      <c r="T226" s="43"/>
      <c r="U226" s="43"/>
      <c r="V226" s="43"/>
      <c r="W226" s="43"/>
      <c r="X226" s="43"/>
      <c r="Y226" s="43"/>
      <c r="Z226" s="43"/>
      <c r="AA226" s="43"/>
      <c r="AB226" s="43"/>
      <c r="AC226" s="43"/>
      <c r="AD226" s="43"/>
      <c r="AE226" s="35"/>
      <c r="AF226" s="35"/>
      <c r="AG226" s="35"/>
      <c r="AH226" s="35"/>
      <c r="AI226" s="35"/>
      <c r="AJ226" s="35"/>
      <c r="AK226" s="35"/>
      <c r="AL226" s="35"/>
      <c r="AM226" s="35"/>
      <c r="AN226" s="36"/>
      <c r="AO226" s="36"/>
      <c r="AP226" s="36"/>
      <c r="AQ226" s="36"/>
      <c r="AR226" s="36"/>
      <c r="AS226" s="36"/>
      <c r="AT226" s="36"/>
      <c r="AU226" s="36"/>
      <c r="AV226" s="36"/>
      <c r="AW226" s="36"/>
      <c r="AX226" s="36"/>
      <c r="AY226" s="36"/>
      <c r="AZ226" s="36"/>
      <c r="BA226" s="36"/>
      <c r="BB226" s="36"/>
      <c r="BC226" s="36"/>
      <c r="BD226" s="36"/>
      <c r="BE226" s="36"/>
    </row>
    <row r="227" spans="2:59" s="30" customFormat="1" ht="15" x14ac:dyDescent="0.2">
      <c r="B227" s="76" t="s">
        <v>434</v>
      </c>
      <c r="C227" s="33"/>
      <c r="D227" s="81"/>
      <c r="G227" s="33"/>
      <c r="H227" s="81"/>
      <c r="J227" s="32"/>
      <c r="K227" s="37"/>
      <c r="L227" s="37"/>
      <c r="M227" s="81"/>
      <c r="N227" s="81"/>
      <c r="O227" s="96"/>
      <c r="Q227" s="34"/>
      <c r="R227" s="43" t="s">
        <v>318</v>
      </c>
      <c r="S227" s="35"/>
      <c r="T227" s="43" t="s">
        <v>171</v>
      </c>
      <c r="U227" s="220"/>
      <c r="V227" s="43"/>
      <c r="W227" s="43"/>
      <c r="X227" s="43"/>
      <c r="Y227" s="43"/>
      <c r="Z227" s="43"/>
      <c r="AA227" s="43"/>
      <c r="AB227" s="43"/>
      <c r="AC227" s="43"/>
      <c r="AD227" s="43"/>
      <c r="AE227" s="35"/>
      <c r="AF227" s="35"/>
      <c r="AG227" s="35"/>
      <c r="AH227" s="35"/>
      <c r="AI227" s="35"/>
      <c r="AJ227" s="35"/>
      <c r="AK227" s="35"/>
      <c r="AL227" s="35"/>
      <c r="AM227" s="35"/>
      <c r="AN227" s="36"/>
      <c r="AO227" s="36"/>
      <c r="AP227" s="36"/>
      <c r="AQ227" s="36"/>
      <c r="AR227" s="36"/>
      <c r="AS227" s="36"/>
      <c r="AT227" s="36"/>
      <c r="AU227" s="36"/>
      <c r="AV227" s="36"/>
      <c r="AW227" s="36"/>
      <c r="AX227" s="36"/>
      <c r="AY227" s="36"/>
      <c r="AZ227" s="36"/>
      <c r="BA227" s="36"/>
      <c r="BB227" s="36"/>
      <c r="BC227" s="36"/>
      <c r="BD227" s="36"/>
      <c r="BE227" s="36"/>
    </row>
    <row r="228" spans="2:59" s="30" customFormat="1" ht="30" x14ac:dyDescent="0.2">
      <c r="B228" s="166" t="s">
        <v>488</v>
      </c>
      <c r="C228" s="152"/>
      <c r="D228" s="81" t="s">
        <v>264</v>
      </c>
      <c r="E228" s="33"/>
      <c r="G228" s="33"/>
      <c r="H228" s="81"/>
      <c r="M228" s="81"/>
      <c r="N228" s="81"/>
      <c r="O228" s="96"/>
      <c r="Q228" s="34"/>
      <c r="R228" s="236" t="str">
        <f>IF(ISNUMBER(C228),IF(AND(ISNUMBER(C226),C224="Aggregaatti"),C226*IF(D226="vuosi",365*24,IF(D226="kuukausi",30*24,IF(D226="päivä",24,1)))*Kalusto!$E$23,C228*T228),"")</f>
        <v/>
      </c>
      <c r="S228" s="98" t="s">
        <v>160</v>
      </c>
      <c r="T228" s="191" t="str">
        <f>IF(ISNUMBER(L224),L224,IF(C224="Ostosähkö",(Muut!$F$11+Muut!$F$13)/1000,IF(C224="Aurinkopaneelit",(Muut!$F$25+Muut!$F$26),IF(OR(C224="Bensiini",C224="Diesel"),(Muut!$F$16+Muut!$F$15+Muut!$F$18+Muut!$F$19)/2,IF(C224="Aggregaatti","Aggregaatin kerroin","")))))</f>
        <v/>
      </c>
      <c r="U228" s="220"/>
      <c r="V228" s="43"/>
      <c r="W228" s="43"/>
      <c r="X228" s="43"/>
      <c r="Y228" s="43"/>
      <c r="Z228" s="43"/>
      <c r="AA228" s="43"/>
      <c r="AB228" s="43"/>
      <c r="AC228" s="43"/>
      <c r="AD228" s="43"/>
      <c r="AE228" s="35"/>
      <c r="AF228" s="35"/>
      <c r="AG228" s="35"/>
      <c r="AH228" s="35"/>
      <c r="AI228" s="35"/>
      <c r="AJ228" s="35"/>
      <c r="AK228" s="35"/>
      <c r="AL228" s="35"/>
      <c r="AM228" s="35"/>
      <c r="AN228" s="36"/>
      <c r="AO228" s="36"/>
      <c r="AP228" s="36"/>
      <c r="AQ228" s="36"/>
      <c r="AR228" s="36"/>
      <c r="AS228" s="36"/>
      <c r="AT228" s="36"/>
      <c r="AU228" s="36"/>
      <c r="AV228" s="36"/>
      <c r="AW228" s="36"/>
      <c r="AX228" s="36"/>
      <c r="AY228" s="36"/>
      <c r="AZ228" s="36"/>
      <c r="BA228" s="36"/>
      <c r="BB228" s="36"/>
      <c r="BC228" s="36"/>
      <c r="BD228" s="36"/>
      <c r="BE228" s="36"/>
    </row>
    <row r="229" spans="2:59" s="30" customFormat="1" ht="15" x14ac:dyDescent="0.2">
      <c r="B229" s="52" t="s">
        <v>435</v>
      </c>
      <c r="C229" s="33"/>
      <c r="D229" s="81"/>
      <c r="G229" s="77"/>
      <c r="H229" s="81"/>
      <c r="M229" s="81"/>
      <c r="N229" s="81"/>
      <c r="O229" s="96"/>
      <c r="Q229" s="34"/>
      <c r="R229" s="43" t="s">
        <v>318</v>
      </c>
      <c r="S229" s="35"/>
      <c r="T229" s="35" t="s">
        <v>705</v>
      </c>
      <c r="U229" s="43"/>
      <c r="V229" s="43"/>
      <c r="W229" s="43"/>
      <c r="X229" s="43"/>
      <c r="Y229" s="43"/>
      <c r="Z229" s="43"/>
      <c r="AA229" s="43"/>
      <c r="AB229" s="43"/>
      <c r="AC229" s="43"/>
      <c r="AD229" s="43"/>
      <c r="AE229" s="35"/>
      <c r="AF229" s="35"/>
      <c r="AG229" s="35"/>
      <c r="AH229" s="35"/>
      <c r="AI229" s="35"/>
      <c r="AJ229" s="35"/>
      <c r="AK229" s="35"/>
      <c r="AL229" s="35"/>
      <c r="AM229" s="35"/>
      <c r="AN229" s="36"/>
      <c r="AO229" s="36"/>
      <c r="AP229" s="36"/>
      <c r="AQ229" s="36"/>
      <c r="AR229" s="36"/>
      <c r="AS229" s="36"/>
      <c r="AT229" s="36"/>
      <c r="AU229" s="36"/>
      <c r="AV229" s="36"/>
      <c r="AW229" s="36"/>
      <c r="AX229" s="36"/>
      <c r="AY229" s="36"/>
      <c r="AZ229" s="36"/>
      <c r="BA229" s="36"/>
      <c r="BB229" s="36"/>
      <c r="BC229" s="36"/>
      <c r="BD229" s="36"/>
      <c r="BE229" s="36"/>
    </row>
    <row r="230" spans="2:59" s="30" customFormat="1" ht="15" x14ac:dyDescent="0.2">
      <c r="B230" s="44" t="s">
        <v>433</v>
      </c>
      <c r="C230" s="441"/>
      <c r="D230" s="81" t="s">
        <v>195</v>
      </c>
      <c r="G230" s="77"/>
      <c r="H230" s="81"/>
      <c r="M230" s="81"/>
      <c r="N230" s="81"/>
      <c r="O230" s="96"/>
      <c r="Q230" s="34"/>
      <c r="R230" s="191" t="str">
        <f>IF(ISNUMBER(C230),IF(AND(ISNUMBER(C226),C224="Aggregaatti"),IF(D226="vuosi",365*24,IF(D226="kuukausi",30*24,IF(D226="päivä",24,1)))*C226*T230,IF(AND(ISNUMBER(C226),OR(C224="Ostosähkö",C224="Aurinkopaneelit")),IF(D226="vuosi",365*24,IF(D226="kuukausi",30*24,IF(D226="päivä",24,1)))*C226*T230,IF(ISNUMBER(C226),IF(D226="vuosi",365*24,IF(D226="kuukausi",30*24,IF(D226="päivä",24,1)))*C226*C230/1000/((Muut!$M$15*Muut!$O$15+Muut!$M$16*Muut!$O$16)/2)*(Muut!$F$16+Muut!$F$19+Muut!$F$18+Muut!$F$15)/2,""))),"")</f>
        <v/>
      </c>
      <c r="S230" s="98" t="s">
        <v>160</v>
      </c>
      <c r="T230" s="191" t="str">
        <f>IF(ISNUMBER(C230),IF(C224="Ostosähkö",K224/K225,IF(C224="Aurinkopaneelit",K224/K225,IF(C224="Aggregaatti",K224,K224/K225))),IF(AND(C224="Aggregaatti",ISNUMBER(C226)),K224,""))</f>
        <v/>
      </c>
      <c r="U230" s="220"/>
      <c r="V230" s="43"/>
      <c r="W230" s="43"/>
      <c r="X230" s="43"/>
      <c r="Y230" s="43"/>
      <c r="Z230" s="43"/>
      <c r="AA230" s="43"/>
      <c r="AB230" s="43"/>
      <c r="AC230" s="43"/>
      <c r="AD230" s="43"/>
      <c r="AE230" s="35"/>
      <c r="AF230" s="35"/>
      <c r="AG230" s="35"/>
      <c r="AH230" s="35"/>
      <c r="AI230" s="35"/>
      <c r="AJ230" s="35"/>
      <c r="AK230" s="35"/>
      <c r="AL230" s="35"/>
      <c r="AM230" s="35"/>
      <c r="AN230" s="36"/>
      <c r="AO230" s="36"/>
      <c r="AP230" s="36"/>
      <c r="AQ230" s="36"/>
      <c r="AR230" s="36"/>
      <c r="AS230" s="36"/>
      <c r="AT230" s="36"/>
      <c r="AU230" s="36"/>
      <c r="AV230" s="36"/>
      <c r="AW230" s="36"/>
      <c r="AX230" s="36"/>
      <c r="AY230" s="36"/>
      <c r="AZ230" s="36"/>
      <c r="BA230" s="36"/>
      <c r="BB230" s="36"/>
      <c r="BC230" s="36"/>
      <c r="BD230" s="36"/>
      <c r="BE230" s="36"/>
    </row>
    <row r="231" spans="2:59" s="30" customFormat="1" ht="15" x14ac:dyDescent="0.2">
      <c r="D231" s="81"/>
      <c r="H231" s="81"/>
      <c r="J231" s="32"/>
      <c r="K231" s="37" t="s">
        <v>297</v>
      </c>
      <c r="L231" s="37" t="s">
        <v>185</v>
      </c>
      <c r="M231" s="81"/>
      <c r="N231" s="81"/>
      <c r="O231" s="96"/>
      <c r="Q231" s="34"/>
      <c r="R231" s="102"/>
      <c r="S231" s="35"/>
      <c r="T231" s="43"/>
      <c r="U231" s="43"/>
      <c r="V231" s="43"/>
      <c r="W231" s="43"/>
      <c r="X231" s="43"/>
      <c r="Y231" s="43"/>
      <c r="Z231" s="43"/>
      <c r="AA231" s="43"/>
      <c r="AB231" s="43"/>
      <c r="AC231" s="43"/>
      <c r="AD231" s="43"/>
      <c r="AE231" s="35"/>
      <c r="AF231" s="35"/>
      <c r="AG231" s="35"/>
      <c r="AH231" s="35"/>
      <c r="AI231" s="35"/>
      <c r="AJ231" s="35"/>
      <c r="AK231" s="35"/>
      <c r="AL231" s="35"/>
      <c r="AM231" s="35"/>
      <c r="AN231" s="36"/>
      <c r="AO231" s="36"/>
      <c r="AP231" s="36"/>
      <c r="AQ231" s="36"/>
      <c r="AR231" s="36"/>
      <c r="AS231" s="36"/>
      <c r="AT231" s="36"/>
      <c r="AU231" s="36"/>
      <c r="AV231" s="36"/>
      <c r="AW231" s="36"/>
      <c r="AX231" s="36"/>
      <c r="AY231" s="36"/>
      <c r="AZ231" s="36"/>
      <c r="BA231" s="36"/>
      <c r="BB231" s="36"/>
      <c r="BC231" s="36"/>
      <c r="BD231" s="36"/>
      <c r="BE231" s="36"/>
    </row>
    <row r="232" spans="2:59" s="30" customFormat="1" ht="15" x14ac:dyDescent="0.2">
      <c r="B232" s="52" t="s">
        <v>451</v>
      </c>
      <c r="C232" s="156"/>
      <c r="D232" s="81" t="s">
        <v>194</v>
      </c>
      <c r="G232" s="33"/>
      <c r="H232" s="81"/>
      <c r="J232" s="32" t="s">
        <v>446</v>
      </c>
      <c r="K232" s="92">
        <f>IF(ISNUMBER(L232),L232,Muut!$F$37)</f>
        <v>0.7</v>
      </c>
      <c r="L232" s="71"/>
      <c r="M232" s="81" t="s">
        <v>207</v>
      </c>
      <c r="N232" s="81"/>
      <c r="O232" s="440" t="s">
        <v>748</v>
      </c>
      <c r="Q232" s="34"/>
      <c r="R232" s="236">
        <f>IF(ISNUMBER(K232*C232),K232*C232,"")</f>
        <v>0</v>
      </c>
      <c r="S232" s="98" t="s">
        <v>160</v>
      </c>
      <c r="T232" s="43"/>
      <c r="U232" s="43"/>
      <c r="V232" s="43"/>
      <c r="W232" s="43"/>
      <c r="X232" s="43"/>
      <c r="Y232" s="43"/>
      <c r="Z232" s="43"/>
      <c r="AA232" s="43"/>
      <c r="AB232" s="43"/>
      <c r="AC232" s="43"/>
      <c r="AD232" s="43"/>
      <c r="AE232" s="35"/>
      <c r="AF232" s="35"/>
      <c r="AG232" s="35"/>
      <c r="AH232" s="35"/>
      <c r="AI232" s="35"/>
      <c r="AJ232" s="35"/>
      <c r="AK232" s="35"/>
      <c r="AL232" s="35"/>
      <c r="AM232" s="35"/>
      <c r="AN232" s="36"/>
      <c r="AO232" s="36"/>
      <c r="AP232" s="36"/>
      <c r="AQ232" s="36"/>
      <c r="AR232" s="36"/>
      <c r="AS232" s="36"/>
      <c r="AT232" s="36"/>
      <c r="AU232" s="36"/>
      <c r="AV232" s="36"/>
      <c r="AW232" s="36"/>
      <c r="AX232" s="36"/>
      <c r="AY232" s="36"/>
      <c r="AZ232" s="36"/>
      <c r="BA232" s="36"/>
      <c r="BB232" s="36"/>
      <c r="BC232" s="36"/>
      <c r="BD232" s="36"/>
      <c r="BE232" s="36"/>
    </row>
    <row r="233" spans="2:59" s="30" customFormat="1" ht="15" x14ac:dyDescent="0.2">
      <c r="B233" s="68" t="s">
        <v>444</v>
      </c>
      <c r="C233" s="93"/>
      <c r="D233" s="74" t="s">
        <v>194</v>
      </c>
      <c r="G233" s="33"/>
      <c r="H233" s="81"/>
      <c r="J233" s="69" t="s">
        <v>445</v>
      </c>
      <c r="K233" s="33"/>
      <c r="L233" s="33"/>
      <c r="M233" s="81"/>
      <c r="N233" s="81"/>
      <c r="O233" s="96"/>
      <c r="Q233" s="34"/>
      <c r="R233" s="102"/>
      <c r="S233" s="35"/>
      <c r="T233" s="43"/>
      <c r="U233" s="43"/>
      <c r="V233" s="43"/>
      <c r="W233" s="43"/>
      <c r="X233" s="43"/>
      <c r="Y233" s="43"/>
      <c r="Z233" s="43"/>
      <c r="AA233" s="43"/>
      <c r="AB233" s="43"/>
      <c r="AC233" s="43"/>
      <c r="AD233" s="43"/>
      <c r="AE233" s="35"/>
      <c r="AF233" s="35"/>
      <c r="AG233" s="35"/>
      <c r="AH233" s="35"/>
      <c r="AI233" s="35"/>
      <c r="AJ233" s="35"/>
      <c r="AK233" s="35"/>
      <c r="AL233" s="35"/>
      <c r="AM233" s="35"/>
      <c r="AN233" s="36"/>
      <c r="AO233" s="36"/>
      <c r="AP233" s="36"/>
      <c r="AQ233" s="36"/>
      <c r="AR233" s="36"/>
      <c r="AS233" s="36"/>
      <c r="AT233" s="36"/>
      <c r="AU233" s="36"/>
      <c r="AV233" s="36"/>
      <c r="AW233" s="36"/>
      <c r="AX233" s="36"/>
      <c r="AY233" s="36"/>
      <c r="AZ233" s="36"/>
      <c r="BA233" s="36"/>
      <c r="BB233" s="36"/>
      <c r="BC233" s="36"/>
      <c r="BD233" s="36"/>
      <c r="BE233" s="36"/>
    </row>
    <row r="234" spans="2:59" s="30" customFormat="1" ht="15" x14ac:dyDescent="0.2">
      <c r="B234" s="68" t="s">
        <v>13</v>
      </c>
      <c r="C234" s="93"/>
      <c r="D234" s="74" t="s">
        <v>194</v>
      </c>
      <c r="G234" s="33"/>
      <c r="H234" s="81"/>
      <c r="J234" s="69" t="s">
        <v>250</v>
      </c>
      <c r="K234" s="33"/>
      <c r="L234" s="33"/>
      <c r="M234" s="81"/>
      <c r="N234" s="81"/>
      <c r="O234" s="96"/>
      <c r="Q234" s="34"/>
      <c r="R234" s="102"/>
      <c r="S234" s="35"/>
      <c r="T234" s="43"/>
      <c r="U234" s="43"/>
      <c r="V234" s="43"/>
      <c r="W234" s="43"/>
      <c r="X234" s="43"/>
      <c r="Y234" s="43"/>
      <c r="Z234" s="43"/>
      <c r="AA234" s="43"/>
      <c r="AB234" s="43"/>
      <c r="AC234" s="43"/>
      <c r="AD234" s="43"/>
      <c r="AE234" s="35"/>
      <c r="AF234" s="35"/>
      <c r="AG234" s="35"/>
      <c r="AH234" s="35"/>
      <c r="AI234" s="35"/>
      <c r="AJ234" s="35"/>
      <c r="AK234" s="35"/>
      <c r="AL234" s="35"/>
      <c r="AM234" s="35"/>
      <c r="AN234" s="36"/>
      <c r="AO234" s="36"/>
      <c r="AP234" s="36"/>
      <c r="AQ234" s="36"/>
      <c r="AR234" s="36"/>
      <c r="AS234" s="36"/>
      <c r="AT234" s="36"/>
      <c r="AU234" s="36"/>
      <c r="AV234" s="36"/>
      <c r="AW234" s="36"/>
      <c r="AX234" s="36"/>
      <c r="AY234" s="36"/>
      <c r="AZ234" s="36"/>
      <c r="BA234" s="36"/>
      <c r="BB234" s="36"/>
      <c r="BC234" s="36"/>
      <c r="BD234" s="36"/>
      <c r="BE234" s="36"/>
    </row>
    <row r="235" spans="2:59" s="30" customFormat="1" ht="15" x14ac:dyDescent="0.2">
      <c r="C235" s="33"/>
      <c r="D235" s="81"/>
      <c r="G235" s="33"/>
      <c r="H235" s="81"/>
      <c r="P235" s="67"/>
      <c r="Q235" s="104"/>
      <c r="R235" s="237"/>
      <c r="S235" s="104"/>
      <c r="T235" s="170"/>
      <c r="U235" s="43"/>
      <c r="V235" s="43"/>
      <c r="W235" s="43"/>
      <c r="X235" s="43"/>
      <c r="Y235" s="43"/>
      <c r="Z235" s="43"/>
      <c r="AA235" s="43"/>
      <c r="AB235" s="43"/>
      <c r="AC235" s="43"/>
      <c r="AD235" s="43"/>
      <c r="AE235" s="35"/>
      <c r="AF235" s="35"/>
      <c r="AG235" s="35"/>
      <c r="AH235" s="35"/>
      <c r="AI235" s="35"/>
      <c r="AJ235" s="35"/>
      <c r="AK235" s="35"/>
      <c r="AL235" s="35"/>
      <c r="AM235" s="35"/>
      <c r="AN235" s="35"/>
      <c r="AO235" s="35"/>
      <c r="AP235" s="36"/>
      <c r="AQ235" s="36"/>
      <c r="AR235" s="36"/>
      <c r="AS235" s="36"/>
      <c r="AT235" s="36"/>
      <c r="AU235" s="36"/>
      <c r="AV235" s="36"/>
      <c r="AW235" s="36"/>
      <c r="AX235" s="36"/>
      <c r="AY235" s="36"/>
      <c r="AZ235" s="36"/>
      <c r="BA235" s="36"/>
      <c r="BB235" s="36"/>
      <c r="BC235" s="36"/>
      <c r="BD235" s="36"/>
      <c r="BE235" s="36"/>
      <c r="BF235" s="36"/>
      <c r="BG235" s="36"/>
    </row>
    <row r="236" spans="2:59" s="289" customFormat="1" ht="18" x14ac:dyDescent="0.2">
      <c r="B236" s="286" t="s">
        <v>567</v>
      </c>
      <c r="C236" s="287"/>
      <c r="D236" s="288"/>
      <c r="G236" s="287"/>
      <c r="H236" s="288"/>
      <c r="K236" s="287"/>
      <c r="L236" s="287"/>
      <c r="M236" s="288"/>
      <c r="N236" s="288"/>
      <c r="O236" s="291"/>
      <c r="P236" s="311"/>
      <c r="Q236" s="295"/>
      <c r="R236" s="289" t="str">
        <f>IF(OR(ISNUMBER(#REF!),ISNUMBER(#REF!),ISNUMBER(#REF!)),SUM(#REF!,#REF!,#REF!),"")</f>
        <v/>
      </c>
      <c r="S236" s="294"/>
      <c r="T236" s="294"/>
      <c r="U236" s="294"/>
      <c r="V236" s="294"/>
      <c r="W236" s="294"/>
      <c r="X236" s="294"/>
      <c r="Y236" s="294"/>
      <c r="Z236" s="294"/>
      <c r="AA236" s="294"/>
      <c r="AB236" s="294"/>
      <c r="AC236" s="294"/>
      <c r="AD236" s="294"/>
      <c r="AE236" s="294"/>
      <c r="AF236" s="294"/>
      <c r="AG236" s="294"/>
      <c r="AH236" s="294"/>
      <c r="AI236" s="294"/>
      <c r="AJ236" s="294"/>
      <c r="AK236" s="294"/>
      <c r="AL236" s="294"/>
      <c r="AM236" s="294"/>
      <c r="AN236" s="295"/>
      <c r="AO236" s="295"/>
      <c r="AP236" s="295"/>
      <c r="AQ236" s="295"/>
      <c r="AR236" s="295"/>
      <c r="AS236" s="295"/>
      <c r="AT236" s="295"/>
      <c r="AU236" s="295"/>
      <c r="AV236" s="295"/>
      <c r="AW236" s="295"/>
      <c r="AX236" s="295"/>
      <c r="AY236" s="295"/>
      <c r="AZ236" s="295"/>
      <c r="BA236" s="295"/>
      <c r="BB236" s="295"/>
      <c r="BC236" s="295"/>
      <c r="BD236" s="295"/>
      <c r="BE236" s="295"/>
    </row>
    <row r="237" spans="2:59" s="30" customFormat="1" ht="15.75" x14ac:dyDescent="0.2">
      <c r="B237" s="8"/>
      <c r="C237" s="33"/>
      <c r="D237" s="81"/>
      <c r="G237" s="33" t="s">
        <v>43</v>
      </c>
      <c r="H237" s="81"/>
      <c r="K237" s="37" t="s">
        <v>297</v>
      </c>
      <c r="L237" s="37" t="s">
        <v>185</v>
      </c>
      <c r="M237" s="81"/>
      <c r="N237" s="81"/>
      <c r="O237" s="249" t="s">
        <v>584</v>
      </c>
      <c r="Q237" s="34"/>
      <c r="R237" s="43" t="s">
        <v>318</v>
      </c>
      <c r="S237" s="35"/>
      <c r="T237" s="43" t="s">
        <v>238</v>
      </c>
      <c r="U237" s="43" t="s">
        <v>239</v>
      </c>
      <c r="V237" s="43" t="s">
        <v>240</v>
      </c>
      <c r="W237" s="43" t="s">
        <v>243</v>
      </c>
      <c r="X237" s="43" t="s">
        <v>241</v>
      </c>
      <c r="Y237" s="43" t="s">
        <v>242</v>
      </c>
      <c r="Z237" s="43" t="s">
        <v>244</v>
      </c>
      <c r="AA237" s="220"/>
      <c r="AB237" s="43"/>
      <c r="AC237" s="43"/>
      <c r="AD237" s="43"/>
      <c r="AE237" s="35"/>
      <c r="AF237" s="35"/>
      <c r="AG237" s="35"/>
      <c r="AH237" s="35"/>
      <c r="AI237" s="35"/>
      <c r="AJ237" s="35"/>
      <c r="AK237" s="35"/>
      <c r="AL237" s="35"/>
      <c r="AM237" s="35"/>
      <c r="AN237" s="36"/>
      <c r="AO237" s="36"/>
      <c r="AP237" s="36"/>
      <c r="AQ237" s="36"/>
      <c r="AR237" s="36"/>
      <c r="AS237" s="36"/>
      <c r="AT237" s="36"/>
      <c r="AU237" s="36"/>
      <c r="AV237" s="36"/>
      <c r="AW237" s="36"/>
      <c r="AX237" s="36"/>
      <c r="AY237" s="36"/>
      <c r="AZ237" s="36"/>
      <c r="BA237" s="36"/>
      <c r="BB237" s="36"/>
      <c r="BC237" s="36"/>
      <c r="BD237" s="36"/>
      <c r="BE237" s="36"/>
    </row>
    <row r="238" spans="2:59" s="30" customFormat="1" ht="15" x14ac:dyDescent="0.2">
      <c r="B238" s="52" t="s">
        <v>530</v>
      </c>
      <c r="C238" s="156"/>
      <c r="D238" s="81" t="s">
        <v>215</v>
      </c>
      <c r="G238" s="156"/>
      <c r="H238" s="81" t="s">
        <v>44</v>
      </c>
      <c r="J238" s="32" t="s">
        <v>514</v>
      </c>
      <c r="K238" s="108" t="str">
        <f>IFERROR(IF(ISNUMBER(L238),L238,VLOOKUP(C242,Kalusto!$C$100:$E$105,3,FALSE)),"--")</f>
        <v>--</v>
      </c>
      <c r="L238" s="61"/>
      <c r="M238" s="75" t="str">
        <f>IF(C242=Pudotusvalikot!$J$9,"kWh/100 km",IF(C242=Pudotusvalikot!$J$6,"kg/100 km","l/100 km"))</f>
        <v>l/100 km</v>
      </c>
      <c r="N238" s="75"/>
      <c r="O238" s="250"/>
      <c r="Q238" s="34"/>
      <c r="R238" s="236">
        <f>SUM(U238:Z238)</f>
        <v>0</v>
      </c>
      <c r="S238" s="98" t="s">
        <v>160</v>
      </c>
      <c r="T238" s="211">
        <f>IF(ISNUMBER(C239*C238*G238),C239*C238*G238,"")</f>
        <v>0</v>
      </c>
      <c r="U238" s="213">
        <f>IF(ISNUMBER(T238),IF(C242=Pudotusvalikot!$J$5,(Muut!$F$16+Muut!$F$19)*(T238*K238/100),0),"")</f>
        <v>0</v>
      </c>
      <c r="V238" s="213">
        <f>IF(ISNUMBER(T238),IF(C242=Pudotusvalikot!$J$4,(Muut!$F$15+Muut!$F$18)*(T238*K238/100),0),"")</f>
        <v>0</v>
      </c>
      <c r="W238" s="213">
        <f>IF(ISNUMBER(T238),IF(C242=Pudotusvalikot!$J$6,(Muut!$F$17+Muut!$F$20)*(T238*K238/100),0),"")</f>
        <v>0</v>
      </c>
      <c r="X238" s="213">
        <f>IF(ISNUMBER(T238),IF(C242=Pudotusvalikot!$J$7,((Muut!$F$16+Muut!$F$19)*(100%-Kalusto!$O$103)+(Muut!$F$15+Muut!$F$18)*Kalusto!$O$103)*(T238*K238/100),0),"")</f>
        <v>0</v>
      </c>
      <c r="Y238" s="224">
        <f>IF(ISNUMBER(T238),IF(C242=Pudotusvalikot!$J$8,((Kalusto!$K$104)*(100%-Kalusto!$O$104)+(Kalusto!$M$104)*Kalusto!$O$104)*(Muut!$F$14+Muut!$F$13)/100*T238/1000+((Kalusto!$G$104)*(100%-Kalusto!$O$104)+(Kalusto!$I$104)*Kalusto!$O$104)*(K238+Muut!$F$19)/100*T238,0),"")</f>
        <v>0</v>
      </c>
      <c r="Z238" s="224">
        <f>IF(ISNUMBER(T238),IF(C242=Pudotusvalikot!$J$9,Kalusto!$E$105*(K238+Muut!$F$13)/100*T238/1000,0),"")</f>
        <v>0</v>
      </c>
      <c r="AA238" s="220"/>
      <c r="AB238" s="43"/>
      <c r="AC238" s="43"/>
      <c r="AD238" s="43"/>
      <c r="AE238" s="35"/>
      <c r="AF238" s="35"/>
      <c r="AG238" s="35"/>
      <c r="AH238" s="35"/>
      <c r="AI238" s="35"/>
      <c r="AJ238" s="35"/>
      <c r="AK238" s="35"/>
      <c r="AL238" s="35"/>
      <c r="AM238" s="35"/>
      <c r="AN238" s="36"/>
      <c r="AO238" s="36"/>
      <c r="AP238" s="36"/>
      <c r="AQ238" s="36"/>
      <c r="AR238" s="36"/>
      <c r="AS238" s="36"/>
      <c r="AT238" s="36"/>
      <c r="AU238" s="36"/>
      <c r="AV238" s="36"/>
      <c r="AW238" s="36"/>
      <c r="AX238" s="36"/>
      <c r="AY238" s="36"/>
      <c r="AZ238" s="36"/>
      <c r="BA238" s="36"/>
      <c r="BB238" s="36"/>
      <c r="BC238" s="36"/>
      <c r="BD238" s="36"/>
      <c r="BE238" s="36"/>
    </row>
    <row r="239" spans="2:59" s="30" customFormat="1" ht="15" x14ac:dyDescent="0.2">
      <c r="B239" s="44" t="s">
        <v>529</v>
      </c>
      <c r="C239" s="156"/>
      <c r="D239" s="81" t="s">
        <v>5</v>
      </c>
      <c r="G239" s="33"/>
      <c r="H239" s="81"/>
      <c r="K239" s="130"/>
      <c r="L239" s="37"/>
      <c r="M239" s="81"/>
      <c r="N239" s="81"/>
      <c r="O239" s="96"/>
      <c r="Q239" s="34"/>
      <c r="R239" s="43" t="s">
        <v>318</v>
      </c>
      <c r="S239" s="35"/>
      <c r="T239" s="43" t="s">
        <v>238</v>
      </c>
      <c r="U239" s="43" t="s">
        <v>239</v>
      </c>
      <c r="V239" s="43" t="s">
        <v>240</v>
      </c>
      <c r="W239" s="43" t="s">
        <v>243</v>
      </c>
      <c r="X239" s="43" t="s">
        <v>241</v>
      </c>
      <c r="Y239" s="43" t="s">
        <v>242</v>
      </c>
      <c r="Z239" s="43" t="s">
        <v>244</v>
      </c>
      <c r="AA239" s="220"/>
      <c r="AB239" s="43"/>
      <c r="AC239" s="43"/>
      <c r="AD239" s="43"/>
      <c r="AE239" s="35"/>
      <c r="AF239" s="35"/>
      <c r="AG239" s="35"/>
      <c r="AH239" s="35"/>
      <c r="AI239" s="35"/>
      <c r="AJ239" s="35"/>
      <c r="AK239" s="35"/>
      <c r="AL239" s="35"/>
      <c r="AM239" s="35"/>
      <c r="AN239" s="36"/>
      <c r="AO239" s="36"/>
      <c r="AP239" s="36"/>
      <c r="AQ239" s="36"/>
      <c r="AR239" s="36"/>
      <c r="AS239" s="36"/>
      <c r="AT239" s="36"/>
      <c r="AU239" s="36"/>
      <c r="AV239" s="36"/>
      <c r="AW239" s="36"/>
      <c r="AX239" s="36"/>
      <c r="AY239" s="36"/>
      <c r="AZ239" s="36"/>
      <c r="BA239" s="36"/>
      <c r="BB239" s="36"/>
      <c r="BC239" s="36"/>
      <c r="BD239" s="36"/>
      <c r="BE239" s="36"/>
    </row>
    <row r="240" spans="2:59" s="30" customFormat="1" ht="30" x14ac:dyDescent="0.2">
      <c r="B240" s="76" t="s">
        <v>528</v>
      </c>
      <c r="C240" s="156"/>
      <c r="D240" s="81" t="s">
        <v>216</v>
      </c>
      <c r="G240" s="156"/>
      <c r="H240" s="81" t="s">
        <v>44</v>
      </c>
      <c r="J240" s="32" t="s">
        <v>514</v>
      </c>
      <c r="K240" s="108" t="str">
        <f>IFERROR(IF(ISNUMBER(L240),L240,VLOOKUP(C242,Kalusto!$C$100:$E$105,3,FALSE)),"--")</f>
        <v>--</v>
      </c>
      <c r="L240" s="61"/>
      <c r="M240" s="75" t="str">
        <f>IF(C242=Pudotusvalikot!$J$9,"kWh/100 km",IF(C242=Pudotusvalikot!$J$6,"kg/100 km","l/100 km"))</f>
        <v>l/100 km</v>
      </c>
      <c r="N240" s="75"/>
      <c r="O240" s="263"/>
      <c r="Q240" s="34"/>
      <c r="R240" s="236">
        <f>SUM(U240:Z240)</f>
        <v>0</v>
      </c>
      <c r="S240" s="98" t="s">
        <v>160</v>
      </c>
      <c r="T240" s="211">
        <f>IF(ISNUMBER(C241*C240*50*G240),C241*C240*50*G240,"")</f>
        <v>0</v>
      </c>
      <c r="U240" s="213">
        <f>IF(ISNUMBER(T240),IF(C242=Pudotusvalikot!$J$5,(Muut!$F$16+Muut!$F$19)*(T240*K240/100),0),"")</f>
        <v>0</v>
      </c>
      <c r="V240" s="213">
        <f>IF(ISNUMBER(T240),IF(C242=Pudotusvalikot!$J$4,(Muut!$F$15+Muut!$F$18)*(T240*K240/100),0),"")</f>
        <v>0</v>
      </c>
      <c r="W240" s="213">
        <f>IF(ISNUMBER(T240),IF(C242=Pudotusvalikot!$J$6,(Muut!$F$17+Muut!$F$20)*(T240*K240/100),0),"")</f>
        <v>0</v>
      </c>
      <c r="X240" s="213">
        <f>IF(ISNUMBER(T240),IF(C242=Pudotusvalikot!$J$7,((Muut!$F$16+Muut!$F$19)*(100%-Kalusto!$O$103)+(Muut!$F$15+Muut!$F$18)*Kalusto!$O$103)*(T240*K240/100),0),"")</f>
        <v>0</v>
      </c>
      <c r="Y240" s="224">
        <f>IF(ISNUMBER(T240),IF(C242=Pudotusvalikot!$J$8,((Kalusto!$K$104)*(100%-Kalusto!$O$104)+(Kalusto!$M$104)*Kalusto!$O$104)*(Muut!$F$14+Muut!$F$13)/100*T240/1000+((Kalusto!$G$104)*(100%-Kalusto!$O$104)+(Kalusto!$I$104)*Kalusto!$O$104)*(K240+Muut!$F$19)/100*T240,0),"")</f>
        <v>0</v>
      </c>
      <c r="Z240" s="224">
        <f>IF(ISNUMBER(T240),IF(C242=Pudotusvalikot!$J$9,Kalusto!$E$105*(K240+Muut!$F$13)/100*T240/1000,0),"")</f>
        <v>0</v>
      </c>
      <c r="AA240" s="220"/>
      <c r="AB240" s="43"/>
      <c r="AC240" s="43"/>
      <c r="AD240" s="43"/>
      <c r="AE240" s="35"/>
      <c r="AF240" s="35"/>
      <c r="AG240" s="35"/>
      <c r="AH240" s="35"/>
      <c r="AI240" s="35"/>
      <c r="AJ240" s="35"/>
      <c r="AK240" s="35"/>
      <c r="AL240" s="35"/>
      <c r="AM240" s="35"/>
      <c r="AN240" s="36"/>
      <c r="AO240" s="36"/>
      <c r="AP240" s="36"/>
      <c r="AQ240" s="36"/>
      <c r="AR240" s="36"/>
      <c r="AS240" s="36"/>
      <c r="AT240" s="36"/>
      <c r="AU240" s="36"/>
      <c r="AV240" s="36"/>
      <c r="AW240" s="36"/>
      <c r="AX240" s="36"/>
      <c r="AY240" s="36"/>
      <c r="AZ240" s="36"/>
      <c r="BA240" s="36"/>
      <c r="BB240" s="36"/>
      <c r="BC240" s="36"/>
      <c r="BD240" s="36"/>
      <c r="BE240" s="36"/>
    </row>
    <row r="241" spans="2:59" s="30" customFormat="1" ht="15" x14ac:dyDescent="0.2">
      <c r="B241" s="44" t="s">
        <v>527</v>
      </c>
      <c r="C241" s="156"/>
      <c r="D241" s="81" t="s">
        <v>5</v>
      </c>
      <c r="G241" s="33"/>
      <c r="H241" s="81"/>
      <c r="K241" s="130"/>
      <c r="L241" s="37"/>
      <c r="M241" s="81"/>
      <c r="N241" s="81"/>
      <c r="O241" s="96"/>
      <c r="Q241" s="34"/>
      <c r="R241" s="102"/>
      <c r="S241" s="35"/>
      <c r="T241" s="43"/>
      <c r="U241" s="43"/>
      <c r="V241" s="43"/>
      <c r="W241" s="43"/>
      <c r="X241" s="43"/>
      <c r="Y241" s="43"/>
      <c r="Z241" s="43"/>
      <c r="AA241" s="43"/>
      <c r="AB241" s="43"/>
      <c r="AC241" s="43"/>
      <c r="AD241" s="43"/>
      <c r="AE241" s="35"/>
      <c r="AF241" s="35"/>
      <c r="AG241" s="35"/>
      <c r="AH241" s="35"/>
      <c r="AI241" s="35"/>
      <c r="AJ241" s="35"/>
      <c r="AK241" s="35"/>
      <c r="AL241" s="35"/>
      <c r="AM241" s="35"/>
      <c r="AN241" s="36"/>
      <c r="AO241" s="36"/>
      <c r="AP241" s="36"/>
      <c r="AQ241" s="36"/>
      <c r="AR241" s="36"/>
      <c r="AS241" s="36"/>
      <c r="AT241" s="36"/>
      <c r="AU241" s="36"/>
      <c r="AV241" s="36"/>
      <c r="AW241" s="36"/>
      <c r="AX241" s="36"/>
      <c r="AY241" s="36"/>
      <c r="AZ241" s="36"/>
      <c r="BA241" s="36"/>
      <c r="BB241" s="36"/>
      <c r="BC241" s="36"/>
      <c r="BD241" s="36"/>
      <c r="BE241" s="36"/>
    </row>
    <row r="242" spans="2:59" s="30" customFormat="1" ht="15" x14ac:dyDescent="0.2">
      <c r="B242" s="52" t="s">
        <v>524</v>
      </c>
      <c r="C242" s="156" t="s">
        <v>309</v>
      </c>
      <c r="D242" s="312"/>
      <c r="G242" s="33"/>
      <c r="H242" s="81"/>
      <c r="J242" s="32"/>
      <c r="K242" s="33"/>
      <c r="L242" s="33"/>
      <c r="M242" s="81"/>
      <c r="N242" s="81"/>
      <c r="O242" s="96"/>
      <c r="Q242" s="34"/>
      <c r="R242" s="102"/>
      <c r="S242" s="35"/>
      <c r="T242" s="43"/>
      <c r="U242" s="43"/>
      <c r="V242" s="43"/>
      <c r="W242" s="43"/>
      <c r="X242" s="43"/>
      <c r="Y242" s="43"/>
      <c r="Z242" s="43"/>
      <c r="AA242" s="43"/>
      <c r="AB242" s="43"/>
      <c r="AC242" s="43"/>
      <c r="AD242" s="43"/>
      <c r="AE242" s="35"/>
      <c r="AF242" s="35"/>
      <c r="AG242" s="35"/>
      <c r="AH242" s="35"/>
      <c r="AI242" s="35"/>
      <c r="AJ242" s="35"/>
      <c r="AK242" s="35"/>
      <c r="AL242" s="35"/>
      <c r="AM242" s="35"/>
      <c r="AN242" s="36"/>
      <c r="AO242" s="36"/>
      <c r="AP242" s="36"/>
      <c r="AQ242" s="36"/>
      <c r="AR242" s="36"/>
      <c r="AS242" s="36"/>
      <c r="AT242" s="36"/>
      <c r="AU242" s="36"/>
      <c r="AV242" s="36"/>
      <c r="AW242" s="36"/>
      <c r="AX242" s="36"/>
      <c r="AY242" s="36"/>
      <c r="AZ242" s="36"/>
      <c r="BA242" s="36"/>
      <c r="BB242" s="36"/>
      <c r="BC242" s="36"/>
      <c r="BD242" s="36"/>
      <c r="BE242" s="36"/>
    </row>
    <row r="243" spans="2:59" s="30" customFormat="1" ht="15" x14ac:dyDescent="0.2">
      <c r="B243" s="52"/>
      <c r="C243" s="33"/>
      <c r="D243" s="33"/>
      <c r="E243" s="57"/>
      <c r="G243" s="33"/>
      <c r="H243" s="81"/>
      <c r="J243" s="32"/>
      <c r="K243" s="33"/>
      <c r="L243" s="33"/>
      <c r="M243" s="81"/>
      <c r="N243" s="81"/>
      <c r="O243" s="96"/>
      <c r="Q243" s="34"/>
      <c r="R243" s="102"/>
      <c r="S243" s="35"/>
      <c r="T243" s="43"/>
      <c r="U243" s="43"/>
      <c r="V243" s="43"/>
      <c r="W243" s="43"/>
      <c r="X243" s="43"/>
      <c r="Y243" s="43"/>
      <c r="Z243" s="43"/>
      <c r="AA243" s="43"/>
      <c r="AB243" s="43"/>
      <c r="AC243" s="43"/>
      <c r="AD243" s="43"/>
      <c r="AE243" s="35"/>
      <c r="AF243" s="35"/>
      <c r="AG243" s="35"/>
      <c r="AH243" s="35"/>
      <c r="AI243" s="35"/>
      <c r="AJ243" s="35"/>
      <c r="AK243" s="35"/>
      <c r="AL243" s="35"/>
      <c r="AM243" s="35"/>
      <c r="AN243" s="36"/>
      <c r="AO243" s="36"/>
      <c r="AP243" s="36"/>
      <c r="AQ243" s="36"/>
      <c r="AR243" s="36"/>
      <c r="AS243" s="36"/>
      <c r="AT243" s="36"/>
      <c r="AU243" s="36"/>
      <c r="AV243" s="36"/>
      <c r="AW243" s="36"/>
      <c r="AX243" s="36"/>
      <c r="AY243" s="36"/>
      <c r="AZ243" s="36"/>
      <c r="BA243" s="36"/>
      <c r="BB243" s="36"/>
      <c r="BC243" s="36"/>
      <c r="BD243" s="36"/>
      <c r="BE243" s="36"/>
    </row>
    <row r="244" spans="2:59" s="192" customFormat="1" ht="23.25" x14ac:dyDescent="0.2">
      <c r="B244" s="193" t="s">
        <v>593</v>
      </c>
      <c r="C244" s="194"/>
      <c r="D244" s="195"/>
      <c r="G244" s="194"/>
      <c r="H244" s="195"/>
      <c r="J244" s="196"/>
      <c r="O244" s="264"/>
      <c r="P244" s="197"/>
      <c r="Q244" s="198"/>
      <c r="R244" s="231"/>
      <c r="S244" s="198"/>
      <c r="T244" s="209"/>
      <c r="U244" s="210"/>
      <c r="V244" s="210"/>
      <c r="W244" s="210"/>
      <c r="X244" s="210"/>
      <c r="Y244" s="210"/>
      <c r="Z244" s="210"/>
      <c r="AA244" s="210"/>
      <c r="AB244" s="210"/>
      <c r="AC244" s="210"/>
      <c r="AD244" s="210"/>
      <c r="AE244" s="201"/>
      <c r="AF244" s="201"/>
      <c r="AG244" s="201"/>
      <c r="AH244" s="201"/>
      <c r="AI244" s="201"/>
      <c r="AJ244" s="201"/>
      <c r="AK244" s="201"/>
      <c r="AL244" s="201"/>
      <c r="AM244" s="201"/>
      <c r="AN244" s="201"/>
      <c r="AO244" s="201"/>
      <c r="AP244" s="200"/>
      <c r="AQ244" s="200"/>
      <c r="AR244" s="200"/>
      <c r="AS244" s="200"/>
      <c r="AT244" s="200"/>
      <c r="AU244" s="200"/>
      <c r="AV244" s="200"/>
      <c r="AW244" s="200"/>
      <c r="AX244" s="200"/>
      <c r="AY244" s="200"/>
      <c r="AZ244" s="200"/>
      <c r="BA244" s="200"/>
      <c r="BB244" s="200"/>
      <c r="BC244" s="200"/>
      <c r="BD244" s="200"/>
      <c r="BE244" s="200"/>
      <c r="BF244" s="200"/>
      <c r="BG244" s="200"/>
    </row>
    <row r="245" spans="2:59" s="30" customFormat="1" ht="15.75" x14ac:dyDescent="0.2">
      <c r="B245" s="8"/>
      <c r="C245" s="33"/>
      <c r="D245" s="81"/>
      <c r="G245" s="33"/>
      <c r="H245" s="81"/>
      <c r="K245" s="33"/>
      <c r="L245" s="33"/>
      <c r="M245" s="81"/>
      <c r="N245" s="81"/>
      <c r="O245" s="81"/>
      <c r="Q245" s="34"/>
      <c r="R245" s="102"/>
      <c r="S245" s="35"/>
      <c r="T245" s="43"/>
      <c r="U245" s="43"/>
      <c r="V245" s="43"/>
      <c r="W245" s="43"/>
      <c r="X245" s="43"/>
      <c r="Y245" s="43"/>
      <c r="Z245" s="43"/>
      <c r="AA245" s="43"/>
      <c r="AB245" s="43"/>
      <c r="AC245" s="43"/>
      <c r="AD245" s="43"/>
      <c r="AE245" s="35"/>
      <c r="AF245" s="35"/>
      <c r="AG245" s="35"/>
      <c r="AH245" s="35"/>
      <c r="AI245" s="35"/>
      <c r="AJ245" s="35"/>
      <c r="AK245" s="35"/>
      <c r="AL245" s="35"/>
      <c r="AM245" s="35"/>
      <c r="AN245" s="36"/>
      <c r="AO245" s="36"/>
      <c r="AP245" s="36"/>
      <c r="AQ245" s="36"/>
      <c r="AR245" s="36"/>
      <c r="AS245" s="36"/>
      <c r="AT245" s="36"/>
      <c r="AU245" s="36"/>
      <c r="AV245" s="36"/>
      <c r="AW245" s="36"/>
      <c r="AX245" s="36"/>
      <c r="AY245" s="36"/>
      <c r="AZ245" s="36"/>
      <c r="BA245" s="36"/>
      <c r="BB245" s="36"/>
      <c r="BC245" s="36"/>
      <c r="BD245" s="36"/>
      <c r="BE245" s="36"/>
    </row>
    <row r="246" spans="2:59" s="289" customFormat="1" ht="18" x14ac:dyDescent="0.2">
      <c r="B246" s="286" t="s">
        <v>440</v>
      </c>
      <c r="C246" s="287"/>
      <c r="D246" s="288"/>
      <c r="G246" s="287"/>
      <c r="H246" s="288"/>
      <c r="K246" s="287"/>
      <c r="L246" s="287"/>
      <c r="M246" s="288"/>
      <c r="N246" s="288"/>
      <c r="O246" s="291"/>
      <c r="P246" s="311"/>
      <c r="Q246" s="295"/>
      <c r="R246" s="289" t="str">
        <f>IF(OR(ISNUMBER(#REF!),ISNUMBER(#REF!),ISNUMBER(#REF!)),SUM(#REF!,#REF!,#REF!),"")</f>
        <v/>
      </c>
      <c r="S246" s="294"/>
      <c r="T246" s="294"/>
      <c r="U246" s="294"/>
      <c r="V246" s="294"/>
      <c r="W246" s="294"/>
      <c r="X246" s="294"/>
      <c r="Y246" s="294"/>
      <c r="Z246" s="294"/>
      <c r="AA246" s="294"/>
      <c r="AB246" s="294"/>
      <c r="AC246" s="294"/>
      <c r="AD246" s="294"/>
      <c r="AE246" s="294"/>
      <c r="AF246" s="294"/>
      <c r="AG246" s="294"/>
      <c r="AH246" s="294"/>
      <c r="AI246" s="294"/>
      <c r="AJ246" s="294"/>
      <c r="AK246" s="294"/>
      <c r="AL246" s="294"/>
      <c r="AM246" s="294"/>
      <c r="AN246" s="295"/>
      <c r="AO246" s="295"/>
      <c r="AP246" s="295"/>
      <c r="AQ246" s="295"/>
      <c r="AR246" s="295"/>
      <c r="AS246" s="295"/>
      <c r="AT246" s="295"/>
      <c r="AU246" s="295"/>
      <c r="AV246" s="295"/>
      <c r="AW246" s="295"/>
      <c r="AX246" s="295"/>
      <c r="AY246" s="295"/>
      <c r="AZ246" s="295"/>
      <c r="BA246" s="295"/>
      <c r="BB246" s="295"/>
      <c r="BC246" s="295"/>
      <c r="BD246" s="295"/>
      <c r="BE246" s="295"/>
    </row>
    <row r="247" spans="2:59" s="30" customFormat="1" ht="15.75" x14ac:dyDescent="0.2">
      <c r="B247" s="175"/>
      <c r="C247" s="33"/>
      <c r="D247" s="81"/>
      <c r="G247" s="33"/>
      <c r="H247" s="81"/>
      <c r="K247" s="33"/>
      <c r="L247" s="33"/>
      <c r="M247" s="81"/>
      <c r="N247" s="81"/>
      <c r="O247" s="81"/>
      <c r="Q247" s="34"/>
      <c r="R247" s="102"/>
      <c r="S247" s="35"/>
      <c r="T247" s="43"/>
      <c r="U247" s="43"/>
      <c r="V247" s="43"/>
      <c r="W247" s="43"/>
      <c r="X247" s="43"/>
      <c r="Y247" s="43"/>
      <c r="Z247" s="43"/>
      <c r="AA247" s="43"/>
      <c r="AB247" s="43"/>
      <c r="AC247" s="43"/>
      <c r="AD247" s="43"/>
      <c r="AE247" s="43"/>
      <c r="AF247" s="43"/>
      <c r="AG247" s="43"/>
      <c r="AH247" s="43"/>
      <c r="AI247" s="35"/>
      <c r="AJ247" s="35"/>
      <c r="AK247" s="35"/>
      <c r="AL247" s="35"/>
      <c r="AM247" s="35"/>
      <c r="AN247" s="36"/>
      <c r="AO247" s="36"/>
      <c r="AP247" s="36"/>
      <c r="AQ247" s="36"/>
      <c r="AR247" s="36"/>
      <c r="AS247" s="36"/>
      <c r="AT247" s="36"/>
      <c r="AU247" s="36"/>
      <c r="AV247" s="36"/>
      <c r="AW247" s="36"/>
      <c r="AX247" s="36"/>
      <c r="AY247" s="36"/>
      <c r="AZ247" s="36"/>
      <c r="BA247" s="36"/>
      <c r="BB247" s="36"/>
      <c r="BC247" s="36"/>
      <c r="BD247" s="36"/>
      <c r="BE247" s="36"/>
    </row>
    <row r="248" spans="2:59" s="289" customFormat="1" ht="18" x14ac:dyDescent="0.2">
      <c r="B248" s="286" t="s">
        <v>55</v>
      </c>
      <c r="C248" s="287"/>
      <c r="D248" s="288"/>
      <c r="G248" s="287"/>
      <c r="H248" s="288"/>
      <c r="K248" s="287"/>
      <c r="L248" s="287"/>
      <c r="M248" s="288"/>
      <c r="N248" s="288"/>
      <c r="O248" s="291"/>
      <c r="P248" s="311"/>
      <c r="Q248" s="295"/>
      <c r="R248" s="289" t="str">
        <f>IF(OR(ISNUMBER(#REF!),ISNUMBER(#REF!),ISNUMBER(#REF!)),SUM(#REF!,#REF!,#REF!),"")</f>
        <v/>
      </c>
      <c r="S248" s="294"/>
      <c r="T248" s="294"/>
      <c r="U248" s="294"/>
      <c r="V248" s="294"/>
      <c r="W248" s="294"/>
      <c r="X248" s="294"/>
      <c r="Y248" s="294"/>
      <c r="Z248" s="294"/>
      <c r="AA248" s="294"/>
      <c r="AB248" s="294"/>
      <c r="AC248" s="294"/>
      <c r="AD248" s="294"/>
      <c r="AE248" s="294"/>
      <c r="AF248" s="294"/>
      <c r="AG248" s="294"/>
      <c r="AH248" s="294"/>
      <c r="AI248" s="294"/>
      <c r="AJ248" s="294"/>
      <c r="AK248" s="294"/>
      <c r="AL248" s="294"/>
      <c r="AM248" s="294"/>
      <c r="AN248" s="295"/>
      <c r="AO248" s="295"/>
      <c r="AP248" s="295"/>
      <c r="AQ248" s="295"/>
      <c r="AR248" s="295"/>
      <c r="AS248" s="295"/>
      <c r="AT248" s="295"/>
      <c r="AU248" s="295"/>
      <c r="AV248" s="295"/>
      <c r="AW248" s="295"/>
      <c r="AX248" s="295"/>
      <c r="AY248" s="295"/>
      <c r="AZ248" s="295"/>
      <c r="BA248" s="295"/>
      <c r="BB248" s="295"/>
      <c r="BC248" s="295"/>
      <c r="BD248" s="295"/>
      <c r="BE248" s="295"/>
    </row>
    <row r="249" spans="2:59" s="30" customFormat="1" ht="15.75" x14ac:dyDescent="0.2">
      <c r="B249" s="8"/>
      <c r="C249" s="33"/>
      <c r="D249" s="81"/>
      <c r="G249" s="33"/>
      <c r="H249" s="81"/>
      <c r="K249" s="33"/>
      <c r="L249" s="33"/>
      <c r="M249" s="81"/>
      <c r="N249" s="81"/>
      <c r="O249" s="81"/>
      <c r="Q249" s="34"/>
      <c r="R249" s="102"/>
      <c r="S249" s="35"/>
      <c r="T249" s="43"/>
      <c r="U249" s="43"/>
      <c r="V249" s="43"/>
      <c r="W249" s="43"/>
      <c r="X249" s="43"/>
      <c r="Y249" s="43"/>
      <c r="Z249" s="43"/>
      <c r="AA249" s="43"/>
      <c r="AB249" s="43"/>
      <c r="AC249" s="43"/>
      <c r="AD249" s="43"/>
      <c r="AE249" s="35"/>
      <c r="AF249" s="35"/>
      <c r="AG249" s="35"/>
      <c r="AH249" s="35"/>
      <c r="AI249" s="35"/>
      <c r="AJ249" s="35"/>
      <c r="AK249" s="35"/>
      <c r="AL249" s="35"/>
      <c r="AM249" s="35"/>
      <c r="AN249" s="36"/>
      <c r="AO249" s="36"/>
      <c r="AP249" s="36"/>
      <c r="AQ249" s="36"/>
      <c r="AR249" s="36"/>
      <c r="AS249" s="36"/>
      <c r="AT249" s="36"/>
      <c r="AU249" s="36"/>
      <c r="AV249" s="36"/>
      <c r="AW249" s="36"/>
      <c r="AX249" s="36"/>
      <c r="AY249" s="36"/>
      <c r="AZ249" s="36"/>
      <c r="BA249" s="36"/>
      <c r="BB249" s="36"/>
      <c r="BC249" s="36"/>
      <c r="BD249" s="36"/>
      <c r="BE249" s="36"/>
    </row>
    <row r="250" spans="2:59" s="30" customFormat="1" ht="15" x14ac:dyDescent="0.2">
      <c r="B250" s="151" t="s">
        <v>441</v>
      </c>
      <c r="C250" s="33"/>
      <c r="D250" s="81"/>
      <c r="G250" s="33"/>
      <c r="H250" s="81"/>
      <c r="K250" s="37" t="s">
        <v>297</v>
      </c>
      <c r="L250" s="37" t="s">
        <v>185</v>
      </c>
      <c r="M250" s="81"/>
      <c r="N250" s="81"/>
      <c r="O250" s="249" t="s">
        <v>584</v>
      </c>
      <c r="Q250" s="34"/>
      <c r="R250" s="43" t="s">
        <v>318</v>
      </c>
      <c r="S250" s="35"/>
      <c r="T250" s="43" t="s">
        <v>246</v>
      </c>
      <c r="U250" s="220"/>
      <c r="V250" s="43"/>
      <c r="W250" s="43"/>
      <c r="X250" s="43"/>
      <c r="Y250" s="43"/>
      <c r="Z250" s="43"/>
      <c r="AA250" s="43"/>
      <c r="AB250" s="43"/>
      <c r="AC250" s="43"/>
      <c r="AD250" s="43"/>
      <c r="AE250" s="35"/>
      <c r="AF250" s="35"/>
      <c r="AG250" s="35"/>
      <c r="AH250" s="35"/>
      <c r="AI250" s="35"/>
      <c r="AJ250" s="35"/>
      <c r="AK250" s="35"/>
      <c r="AL250" s="35"/>
      <c r="AM250" s="35"/>
      <c r="AN250" s="36"/>
      <c r="AO250" s="36"/>
      <c r="AP250" s="36"/>
      <c r="AQ250" s="36"/>
      <c r="AR250" s="36"/>
      <c r="AS250" s="36"/>
      <c r="AT250" s="36"/>
      <c r="AU250" s="36"/>
      <c r="AV250" s="36"/>
      <c r="AW250" s="36"/>
      <c r="AX250" s="36"/>
      <c r="AY250" s="36"/>
      <c r="AZ250" s="36"/>
      <c r="BA250" s="36"/>
      <c r="BB250" s="36"/>
      <c r="BC250" s="36"/>
      <c r="BD250" s="36"/>
      <c r="BE250" s="36"/>
    </row>
    <row r="251" spans="2:59" s="30" customFormat="1" ht="15" x14ac:dyDescent="0.2">
      <c r="B251" s="52" t="s">
        <v>461</v>
      </c>
      <c r="C251" s="471" t="s">
        <v>300</v>
      </c>
      <c r="D251" s="472"/>
      <c r="E251" s="472"/>
      <c r="F251" s="472"/>
      <c r="G251" s="473"/>
      <c r="H251" s="81"/>
      <c r="J251" s="32" t="s">
        <v>424</v>
      </c>
      <c r="K251" s="92" t="str">
        <f>IFERROR(IF(ISNUMBER(L251),L251,(VLOOKUP(C251,Kalusto!$C$5:$E$42,3,FALSE))*(VLOOKUP(C252,Muut!$D$40:$E$43,2,FALSE))),"--")</f>
        <v>--</v>
      </c>
      <c r="L251" s="39"/>
      <c r="M251" s="40" t="s">
        <v>189</v>
      </c>
      <c r="N251" s="40"/>
      <c r="O251" s="250"/>
      <c r="Q251" s="34"/>
      <c r="R251" s="213" t="str">
        <f>IF(ISNUMBER(K251*T251),K251*T251,"")</f>
        <v/>
      </c>
      <c r="S251" s="98" t="s">
        <v>160</v>
      </c>
      <c r="T251" s="213" t="str">
        <f>IF(ISNUMBER(C253),C253,"")</f>
        <v/>
      </c>
      <c r="U251" s="220"/>
      <c r="V251" s="216"/>
      <c r="W251" s="43"/>
      <c r="X251" s="43"/>
      <c r="Y251" s="43"/>
      <c r="Z251" s="43"/>
      <c r="AA251" s="43"/>
      <c r="AB251" s="43"/>
      <c r="AC251" s="43"/>
      <c r="AD251" s="43"/>
      <c r="AE251" s="35"/>
      <c r="AF251" s="35"/>
      <c r="AG251" s="35"/>
      <c r="AH251" s="35"/>
      <c r="AI251" s="35"/>
      <c r="AJ251" s="35"/>
      <c r="AK251" s="35"/>
      <c r="AL251" s="35"/>
      <c r="AM251" s="35"/>
      <c r="AN251" s="36"/>
      <c r="AO251" s="36"/>
      <c r="AP251" s="36"/>
      <c r="AQ251" s="36"/>
      <c r="AR251" s="36"/>
      <c r="AS251" s="36"/>
      <c r="AT251" s="36"/>
      <c r="AU251" s="36"/>
      <c r="AV251" s="36"/>
      <c r="AW251" s="36"/>
      <c r="AX251" s="36"/>
      <c r="AY251" s="36"/>
      <c r="AZ251" s="36"/>
      <c r="BA251" s="36"/>
      <c r="BB251" s="36"/>
      <c r="BC251" s="36"/>
      <c r="BD251" s="36"/>
      <c r="BE251" s="36"/>
    </row>
    <row r="252" spans="2:59" s="30" customFormat="1" ht="15" x14ac:dyDescent="0.2">
      <c r="B252" s="166" t="s">
        <v>460</v>
      </c>
      <c r="C252" s="156" t="s">
        <v>223</v>
      </c>
      <c r="D252" s="33"/>
      <c r="E252" s="33"/>
      <c r="F252" s="33"/>
      <c r="G252" s="33"/>
      <c r="H252" s="57"/>
      <c r="J252" s="169"/>
      <c r="K252" s="169"/>
      <c r="L252" s="169"/>
      <c r="M252" s="40"/>
      <c r="N252" s="40"/>
      <c r="O252" s="259"/>
      <c r="Q252" s="45"/>
      <c r="R252" s="216"/>
      <c r="S252" s="98"/>
      <c r="T252" s="43"/>
      <c r="U252" s="43"/>
      <c r="V252" s="215"/>
      <c r="W252" s="215"/>
      <c r="X252" s="216"/>
      <c r="Y252" s="43"/>
      <c r="Z252" s="216"/>
      <c r="AA252" s="217"/>
      <c r="AB252" s="216"/>
      <c r="AC252" s="216"/>
      <c r="AD252" s="216"/>
      <c r="AE252" s="59"/>
      <c r="AF252" s="178"/>
      <c r="AG252" s="59"/>
      <c r="AH252" s="35"/>
      <c r="AI252" s="35"/>
      <c r="AJ252" s="35"/>
      <c r="AK252" s="104"/>
      <c r="AL252" s="35"/>
      <c r="AM252" s="35"/>
      <c r="AN252" s="36"/>
      <c r="AO252" s="36"/>
      <c r="AP252" s="36"/>
      <c r="AQ252" s="36"/>
      <c r="AR252" s="36"/>
      <c r="AS252" s="36"/>
      <c r="AT252" s="36"/>
      <c r="AU252" s="36"/>
      <c r="AV252" s="36"/>
      <c r="AW252" s="36"/>
      <c r="AX252" s="36"/>
      <c r="AY252" s="36"/>
      <c r="AZ252" s="36"/>
      <c r="BA252" s="36"/>
      <c r="BB252" s="36"/>
      <c r="BC252" s="36"/>
      <c r="BD252" s="36"/>
      <c r="BE252" s="36"/>
    </row>
    <row r="253" spans="2:59" s="30" customFormat="1" ht="15" x14ac:dyDescent="0.2">
      <c r="B253" s="52" t="s">
        <v>427</v>
      </c>
      <c r="C253" s="189"/>
      <c r="D253" s="81" t="s">
        <v>51</v>
      </c>
      <c r="G253" s="33"/>
      <c r="H253" s="81"/>
      <c r="J253" s="32"/>
      <c r="K253" s="33"/>
      <c r="L253" s="33"/>
      <c r="M253" s="81"/>
      <c r="N253" s="81"/>
      <c r="O253" s="96"/>
      <c r="Q253" s="34"/>
      <c r="R253" s="43"/>
      <c r="S253" s="35"/>
      <c r="T253" s="43"/>
      <c r="U253" s="220"/>
      <c r="V253" s="43"/>
      <c r="W253" s="43"/>
      <c r="X253" s="43"/>
      <c r="Y253" s="43"/>
      <c r="Z253" s="43"/>
      <c r="AA253" s="43"/>
      <c r="AB253" s="43"/>
      <c r="AC253" s="43"/>
      <c r="AD253" s="43"/>
      <c r="AE253" s="35"/>
      <c r="AF253" s="35"/>
      <c r="AG253" s="35"/>
      <c r="AH253" s="35"/>
      <c r="AI253" s="35"/>
      <c r="AJ253" s="35"/>
      <c r="AK253" s="35"/>
      <c r="AL253" s="35"/>
      <c r="AM253" s="35"/>
      <c r="AN253" s="36"/>
      <c r="AO253" s="36"/>
      <c r="AP253" s="36"/>
      <c r="AQ253" s="36"/>
      <c r="AR253" s="36"/>
      <c r="AS253" s="36"/>
      <c r="AT253" s="36"/>
      <c r="AU253" s="36"/>
      <c r="AV253" s="36"/>
      <c r="AW253" s="36"/>
      <c r="AX253" s="36"/>
      <c r="AY253" s="36"/>
      <c r="AZ253" s="36"/>
      <c r="BA253" s="36"/>
      <c r="BB253" s="36"/>
      <c r="BC253" s="36"/>
      <c r="BD253" s="36"/>
      <c r="BE253" s="36"/>
    </row>
    <row r="254" spans="2:59" s="30" customFormat="1" ht="15" x14ac:dyDescent="0.2">
      <c r="B254" s="151" t="s">
        <v>442</v>
      </c>
      <c r="C254" s="33"/>
      <c r="D254" s="81"/>
      <c r="G254" s="33"/>
      <c r="H254" s="81"/>
      <c r="J254" s="32"/>
      <c r="K254" s="37" t="s">
        <v>297</v>
      </c>
      <c r="L254" s="37" t="s">
        <v>185</v>
      </c>
      <c r="M254" s="81"/>
      <c r="N254" s="81"/>
      <c r="O254" s="96"/>
      <c r="Q254" s="34"/>
      <c r="R254" s="43" t="s">
        <v>318</v>
      </c>
      <c r="S254" s="35"/>
      <c r="T254" s="43" t="s">
        <v>246</v>
      </c>
      <c r="U254" s="220"/>
      <c r="V254" s="43"/>
      <c r="W254" s="43"/>
      <c r="X254" s="43"/>
      <c r="Y254" s="43"/>
      <c r="Z254" s="43"/>
      <c r="AA254" s="43"/>
      <c r="AB254" s="43"/>
      <c r="AC254" s="43"/>
      <c r="AD254" s="43"/>
      <c r="AE254" s="35"/>
      <c r="AF254" s="35"/>
      <c r="AG254" s="35"/>
      <c r="AH254" s="35"/>
      <c r="AI254" s="35"/>
      <c r="AJ254" s="35"/>
      <c r="AK254" s="35"/>
      <c r="AL254" s="35"/>
      <c r="AM254" s="35"/>
      <c r="AN254" s="36"/>
      <c r="AO254" s="36"/>
      <c r="AP254" s="36"/>
      <c r="AQ254" s="36"/>
      <c r="AR254" s="36"/>
      <c r="AS254" s="36"/>
      <c r="AT254" s="36"/>
      <c r="AU254" s="36"/>
      <c r="AV254" s="36"/>
      <c r="AW254" s="36"/>
      <c r="AX254" s="36"/>
      <c r="AY254" s="36"/>
      <c r="AZ254" s="36"/>
      <c r="BA254" s="36"/>
      <c r="BB254" s="36"/>
      <c r="BC254" s="36"/>
      <c r="BD254" s="36"/>
      <c r="BE254" s="36"/>
    </row>
    <row r="255" spans="2:59" s="30" customFormat="1" ht="15" x14ac:dyDescent="0.2">
      <c r="B255" s="52" t="s">
        <v>461</v>
      </c>
      <c r="C255" s="471" t="s">
        <v>300</v>
      </c>
      <c r="D255" s="472"/>
      <c r="E255" s="472"/>
      <c r="F255" s="472"/>
      <c r="G255" s="473"/>
      <c r="H255" s="81"/>
      <c r="J255" s="32" t="s">
        <v>424</v>
      </c>
      <c r="K255" s="92" t="str">
        <f>IFERROR(IF(ISNUMBER(L255),L255,(VLOOKUP(C255,Kalusto!$C$5:$E$42,3,FALSE))*(VLOOKUP(C256,Muut!$D$40:$E$43,2,FALSE))),"--")</f>
        <v>--</v>
      </c>
      <c r="L255" s="39"/>
      <c r="M255" s="40" t="s">
        <v>189</v>
      </c>
      <c r="N255" s="40"/>
      <c r="O255" s="259"/>
      <c r="Q255" s="34"/>
      <c r="R255" s="213" t="str">
        <f>IF(ISNUMBER(K255*T255),K255*T255,"")</f>
        <v/>
      </c>
      <c r="S255" s="98" t="s">
        <v>160</v>
      </c>
      <c r="T255" s="213" t="str">
        <f>IF(ISNUMBER(C257),C257,"")</f>
        <v/>
      </c>
      <c r="U255" s="220"/>
      <c r="V255" s="216"/>
      <c r="W255" s="43"/>
      <c r="X255" s="43"/>
      <c r="Y255" s="43"/>
      <c r="Z255" s="43"/>
      <c r="AA255" s="43"/>
      <c r="AB255" s="43"/>
      <c r="AC255" s="43"/>
      <c r="AD255" s="43"/>
      <c r="AE255" s="35"/>
      <c r="AF255" s="35"/>
      <c r="AG255" s="35"/>
      <c r="AH255" s="35"/>
      <c r="AI255" s="35"/>
      <c r="AJ255" s="35"/>
      <c r="AK255" s="35"/>
      <c r="AL255" s="35"/>
      <c r="AM255" s="35"/>
      <c r="AN255" s="36"/>
      <c r="AO255" s="36"/>
      <c r="AP255" s="36"/>
      <c r="AQ255" s="36"/>
      <c r="AR255" s="36"/>
      <c r="AS255" s="36"/>
      <c r="AT255" s="36"/>
      <c r="AU255" s="36"/>
      <c r="AV255" s="36"/>
      <c r="AW255" s="36"/>
      <c r="AX255" s="36"/>
      <c r="AY255" s="36"/>
      <c r="AZ255" s="36"/>
      <c r="BA255" s="36"/>
      <c r="BB255" s="36"/>
      <c r="BC255" s="36"/>
      <c r="BD255" s="36"/>
      <c r="BE255" s="36"/>
    </row>
    <row r="256" spans="2:59" s="30" customFormat="1" ht="15" x14ac:dyDescent="0.2">
      <c r="B256" s="166" t="s">
        <v>460</v>
      </c>
      <c r="C256" s="156" t="s">
        <v>223</v>
      </c>
      <c r="D256" s="33"/>
      <c r="E256" s="33"/>
      <c r="F256" s="33"/>
      <c r="G256" s="33"/>
      <c r="H256" s="57"/>
      <c r="J256" s="169"/>
      <c r="K256" s="169"/>
      <c r="L256" s="169"/>
      <c r="M256" s="40"/>
      <c r="N256" s="40"/>
      <c r="O256" s="259"/>
      <c r="Q256" s="45"/>
      <c r="R256" s="216"/>
      <c r="S256" s="98"/>
      <c r="T256" s="43"/>
      <c r="U256" s="43"/>
      <c r="V256" s="215"/>
      <c r="W256" s="215"/>
      <c r="X256" s="216"/>
      <c r="Y256" s="43"/>
      <c r="Z256" s="216"/>
      <c r="AA256" s="217"/>
      <c r="AB256" s="216"/>
      <c r="AC256" s="216"/>
      <c r="AD256" s="216"/>
      <c r="AE256" s="59"/>
      <c r="AF256" s="178"/>
      <c r="AG256" s="59"/>
      <c r="AH256" s="35"/>
      <c r="AI256" s="35"/>
      <c r="AJ256" s="35"/>
      <c r="AK256" s="104"/>
      <c r="AL256" s="35"/>
      <c r="AM256" s="35"/>
      <c r="AN256" s="36"/>
      <c r="AO256" s="36"/>
      <c r="AP256" s="36"/>
      <c r="AQ256" s="36"/>
      <c r="AR256" s="36"/>
      <c r="AS256" s="36"/>
      <c r="AT256" s="36"/>
      <c r="AU256" s="36"/>
      <c r="AV256" s="36"/>
      <c r="AW256" s="36"/>
      <c r="AX256" s="36"/>
      <c r="AY256" s="36"/>
      <c r="AZ256" s="36"/>
      <c r="BA256" s="36"/>
      <c r="BB256" s="36"/>
      <c r="BC256" s="36"/>
      <c r="BD256" s="36"/>
      <c r="BE256" s="36"/>
    </row>
    <row r="257" spans="2:57" s="30" customFormat="1" ht="15" x14ac:dyDescent="0.2">
      <c r="B257" s="52" t="s">
        <v>427</v>
      </c>
      <c r="C257" s="189"/>
      <c r="D257" s="81" t="s">
        <v>51</v>
      </c>
      <c r="G257" s="33"/>
      <c r="H257" s="81"/>
      <c r="J257" s="32"/>
      <c r="K257" s="33"/>
      <c r="L257" s="33"/>
      <c r="M257" s="81"/>
      <c r="N257" s="81"/>
      <c r="O257" s="96"/>
      <c r="Q257" s="34"/>
      <c r="R257" s="43"/>
      <c r="S257" s="35"/>
      <c r="T257" s="43"/>
      <c r="U257" s="220"/>
      <c r="V257" s="43"/>
      <c r="W257" s="43"/>
      <c r="X257" s="43"/>
      <c r="Y257" s="43"/>
      <c r="Z257" s="43"/>
      <c r="AA257" s="43"/>
      <c r="AB257" s="43"/>
      <c r="AC257" s="43"/>
      <c r="AD257" s="43"/>
      <c r="AE257" s="35"/>
      <c r="AF257" s="35"/>
      <c r="AG257" s="35"/>
      <c r="AH257" s="35"/>
      <c r="AI257" s="35"/>
      <c r="AJ257" s="35"/>
      <c r="AK257" s="35"/>
      <c r="AL257" s="35"/>
      <c r="AM257" s="35"/>
      <c r="AN257" s="36"/>
      <c r="AO257" s="36"/>
      <c r="AP257" s="36"/>
      <c r="AQ257" s="36"/>
      <c r="AR257" s="36"/>
      <c r="AS257" s="36"/>
      <c r="AT257" s="36"/>
      <c r="AU257" s="36"/>
      <c r="AV257" s="36"/>
      <c r="AW257" s="36"/>
      <c r="AX257" s="36"/>
      <c r="AY257" s="36"/>
      <c r="AZ257" s="36"/>
      <c r="BA257" s="36"/>
      <c r="BB257" s="36"/>
      <c r="BC257" s="36"/>
      <c r="BD257" s="36"/>
      <c r="BE257" s="36"/>
    </row>
    <row r="258" spans="2:57" s="30" customFormat="1" ht="15" x14ac:dyDescent="0.2">
      <c r="B258" s="151" t="s">
        <v>443</v>
      </c>
      <c r="C258" s="33"/>
      <c r="D258" s="81"/>
      <c r="G258" s="33"/>
      <c r="H258" s="81"/>
      <c r="J258" s="32"/>
      <c r="K258" s="37" t="s">
        <v>297</v>
      </c>
      <c r="L258" s="37" t="s">
        <v>185</v>
      </c>
      <c r="M258" s="81"/>
      <c r="N258" s="81"/>
      <c r="O258" s="96"/>
      <c r="Q258" s="34"/>
      <c r="R258" s="43" t="s">
        <v>318</v>
      </c>
      <c r="S258" s="35"/>
      <c r="T258" s="43" t="s">
        <v>246</v>
      </c>
      <c r="U258" s="220"/>
      <c r="V258" s="43"/>
      <c r="W258" s="43"/>
      <c r="X258" s="43"/>
      <c r="Y258" s="43"/>
      <c r="Z258" s="43"/>
      <c r="AA258" s="43"/>
      <c r="AB258" s="43"/>
      <c r="AC258" s="43"/>
      <c r="AD258" s="43"/>
      <c r="AE258" s="35"/>
      <c r="AF258" s="35"/>
      <c r="AG258" s="35"/>
      <c r="AH258" s="35"/>
      <c r="AI258" s="35"/>
      <c r="AJ258" s="35"/>
      <c r="AK258" s="35"/>
      <c r="AL258" s="35"/>
      <c r="AM258" s="35"/>
      <c r="AN258" s="36"/>
      <c r="AO258" s="36"/>
      <c r="AP258" s="36"/>
      <c r="AQ258" s="36"/>
      <c r="AR258" s="36"/>
      <c r="AS258" s="36"/>
      <c r="AT258" s="36"/>
      <c r="AU258" s="36"/>
      <c r="AV258" s="36"/>
      <c r="AW258" s="36"/>
      <c r="AX258" s="36"/>
      <c r="AY258" s="36"/>
      <c r="AZ258" s="36"/>
      <c r="BA258" s="36"/>
      <c r="BB258" s="36"/>
      <c r="BC258" s="36"/>
      <c r="BD258" s="36"/>
      <c r="BE258" s="36"/>
    </row>
    <row r="259" spans="2:57" s="30" customFormat="1" ht="15" x14ac:dyDescent="0.2">
      <c r="B259" s="52" t="s">
        <v>461</v>
      </c>
      <c r="C259" s="471" t="s">
        <v>300</v>
      </c>
      <c r="D259" s="472"/>
      <c r="E259" s="472"/>
      <c r="F259" s="472"/>
      <c r="G259" s="473"/>
      <c r="H259" s="81"/>
      <c r="J259" s="32" t="s">
        <v>424</v>
      </c>
      <c r="K259" s="92" t="str">
        <f>IFERROR(IF(ISNUMBER(L259),L259,(VLOOKUP(C259,Kalusto!$C$5:$E$42,3,FALSE))*(VLOOKUP(C260,Muut!$D$40:$E$43,2,FALSE))),"--")</f>
        <v>--</v>
      </c>
      <c r="L259" s="39"/>
      <c r="M259" s="40" t="s">
        <v>189</v>
      </c>
      <c r="N259" s="40"/>
      <c r="O259" s="259"/>
      <c r="Q259" s="34"/>
      <c r="R259" s="213" t="str">
        <f>IF(ISNUMBER(K259*T259),K259*T259,"")</f>
        <v/>
      </c>
      <c r="S259" s="98" t="s">
        <v>160</v>
      </c>
      <c r="T259" s="213" t="str">
        <f>IF(ISNUMBER(C261),C261,"")</f>
        <v/>
      </c>
      <c r="U259" s="220"/>
      <c r="V259" s="216"/>
      <c r="W259" s="43"/>
      <c r="X259" s="43"/>
      <c r="Y259" s="43"/>
      <c r="Z259" s="43"/>
      <c r="AA259" s="43"/>
      <c r="AB259" s="43"/>
      <c r="AC259" s="43"/>
      <c r="AD259" s="43"/>
      <c r="AE259" s="35"/>
      <c r="AF259" s="35"/>
      <c r="AG259" s="35"/>
      <c r="AH259" s="35"/>
      <c r="AI259" s="35"/>
      <c r="AJ259" s="35"/>
      <c r="AK259" s="35"/>
      <c r="AL259" s="35"/>
      <c r="AM259" s="35"/>
      <c r="AN259" s="36"/>
      <c r="AO259" s="36"/>
      <c r="AP259" s="36"/>
      <c r="AQ259" s="36"/>
      <c r="AR259" s="36"/>
      <c r="AS259" s="36"/>
      <c r="AT259" s="36"/>
      <c r="AU259" s="36"/>
      <c r="AV259" s="36"/>
      <c r="AW259" s="36"/>
      <c r="AX259" s="36"/>
      <c r="AY259" s="36"/>
      <c r="AZ259" s="36"/>
      <c r="BA259" s="36"/>
      <c r="BB259" s="36"/>
      <c r="BC259" s="36"/>
      <c r="BD259" s="36"/>
      <c r="BE259" s="36"/>
    </row>
    <row r="260" spans="2:57" s="30" customFormat="1" ht="15" x14ac:dyDescent="0.2">
      <c r="B260" s="166" t="s">
        <v>460</v>
      </c>
      <c r="C260" s="156" t="s">
        <v>223</v>
      </c>
      <c r="D260" s="33"/>
      <c r="E260" s="33"/>
      <c r="F260" s="33"/>
      <c r="G260" s="33"/>
      <c r="H260" s="57"/>
      <c r="J260" s="169"/>
      <c r="K260" s="169"/>
      <c r="L260" s="169"/>
      <c r="M260" s="40"/>
      <c r="N260" s="40"/>
      <c r="O260" s="259"/>
      <c r="Q260" s="45"/>
      <c r="R260" s="216"/>
      <c r="S260" s="98"/>
      <c r="T260" s="43"/>
      <c r="U260" s="43"/>
      <c r="V260" s="215"/>
      <c r="W260" s="215"/>
      <c r="X260" s="216"/>
      <c r="Y260" s="43"/>
      <c r="Z260" s="216"/>
      <c r="AA260" s="217"/>
      <c r="AB260" s="216"/>
      <c r="AC260" s="216"/>
      <c r="AD260" s="216"/>
      <c r="AE260" s="59"/>
      <c r="AF260" s="178"/>
      <c r="AG260" s="59"/>
      <c r="AH260" s="35"/>
      <c r="AI260" s="35"/>
      <c r="AJ260" s="35"/>
      <c r="AK260" s="104"/>
      <c r="AL260" s="35"/>
      <c r="AM260" s="35"/>
      <c r="AN260" s="36"/>
      <c r="AO260" s="36"/>
      <c r="AP260" s="36"/>
      <c r="AQ260" s="36"/>
      <c r="AR260" s="36"/>
      <c r="AS260" s="36"/>
      <c r="AT260" s="36"/>
      <c r="AU260" s="36"/>
      <c r="AV260" s="36"/>
      <c r="AW260" s="36"/>
      <c r="AX260" s="36"/>
      <c r="AY260" s="36"/>
      <c r="AZ260" s="36"/>
      <c r="BA260" s="36"/>
      <c r="BB260" s="36"/>
      <c r="BC260" s="36"/>
      <c r="BD260" s="36"/>
      <c r="BE260" s="36"/>
    </row>
    <row r="261" spans="2:57" s="30" customFormat="1" ht="15" x14ac:dyDescent="0.2">
      <c r="B261" s="52" t="s">
        <v>427</v>
      </c>
      <c r="C261" s="189"/>
      <c r="D261" s="81" t="s">
        <v>51</v>
      </c>
      <c r="G261" s="33"/>
      <c r="H261" s="81"/>
      <c r="J261" s="32"/>
      <c r="K261" s="33"/>
      <c r="L261" s="33"/>
      <c r="M261" s="81"/>
      <c r="N261" s="81"/>
      <c r="O261" s="96"/>
      <c r="Q261" s="34"/>
      <c r="R261" s="102"/>
      <c r="S261" s="35"/>
      <c r="T261" s="43"/>
      <c r="U261" s="43"/>
      <c r="V261" s="43"/>
      <c r="W261" s="43"/>
      <c r="X261" s="43"/>
      <c r="Y261" s="43"/>
      <c r="Z261" s="43"/>
      <c r="AA261" s="43"/>
      <c r="AB261" s="43"/>
      <c r="AC261" s="43"/>
      <c r="AD261" s="43"/>
      <c r="AE261" s="35"/>
      <c r="AF261" s="35"/>
      <c r="AG261" s="35"/>
      <c r="AH261" s="35"/>
      <c r="AI261" s="35"/>
      <c r="AJ261" s="35"/>
      <c r="AK261" s="35"/>
      <c r="AL261" s="35"/>
      <c r="AM261" s="35"/>
      <c r="AN261" s="36"/>
      <c r="AO261" s="36"/>
      <c r="AP261" s="36"/>
      <c r="AQ261" s="36"/>
      <c r="AR261" s="36"/>
      <c r="AS261" s="36"/>
      <c r="AT261" s="36"/>
      <c r="AU261" s="36"/>
      <c r="AV261" s="36"/>
      <c r="AW261" s="36"/>
      <c r="AX261" s="36"/>
      <c r="AY261" s="36"/>
      <c r="AZ261" s="36"/>
      <c r="BA261" s="36"/>
      <c r="BB261" s="36"/>
      <c r="BC261" s="36"/>
      <c r="BD261" s="36"/>
      <c r="BE261" s="36"/>
    </row>
    <row r="262" spans="2:57" s="30" customFormat="1" ht="15" x14ac:dyDescent="0.2">
      <c r="C262" s="33"/>
      <c r="D262" s="81"/>
      <c r="G262" s="33"/>
      <c r="H262" s="81"/>
      <c r="K262" s="33"/>
      <c r="L262" s="33"/>
      <c r="M262" s="81"/>
      <c r="N262" s="81"/>
      <c r="O262" s="81"/>
      <c r="Q262" s="34"/>
      <c r="R262" s="102"/>
      <c r="S262" s="35"/>
      <c r="T262" s="43"/>
      <c r="U262" s="43"/>
      <c r="V262" s="43"/>
      <c r="W262" s="43"/>
      <c r="X262" s="43"/>
      <c r="Y262" s="43"/>
      <c r="Z262" s="43"/>
      <c r="AA262" s="43"/>
      <c r="AB262" s="43"/>
      <c r="AC262" s="43"/>
      <c r="AD262" s="43"/>
      <c r="AE262" s="35"/>
      <c r="AF262" s="35"/>
      <c r="AG262" s="35"/>
      <c r="AH262" s="35"/>
      <c r="AI262" s="35"/>
      <c r="AJ262" s="35"/>
      <c r="AK262" s="35"/>
      <c r="AL262" s="35"/>
      <c r="AM262" s="35"/>
      <c r="AN262" s="36"/>
      <c r="AO262" s="36"/>
      <c r="AP262" s="36"/>
      <c r="AQ262" s="36"/>
      <c r="AR262" s="36"/>
      <c r="AS262" s="36"/>
      <c r="AT262" s="36"/>
      <c r="AU262" s="36"/>
      <c r="AV262" s="36"/>
      <c r="AW262" s="36"/>
      <c r="AX262" s="36"/>
      <c r="AY262" s="36"/>
      <c r="AZ262" s="36"/>
      <c r="BA262" s="36"/>
      <c r="BB262" s="36"/>
      <c r="BC262" s="36"/>
      <c r="BD262" s="36"/>
      <c r="BE262" s="36"/>
    </row>
    <row r="263" spans="2:57" s="289" customFormat="1" ht="18" x14ac:dyDescent="0.2">
      <c r="B263" s="286" t="s">
        <v>676</v>
      </c>
      <c r="C263" s="287"/>
      <c r="D263" s="288"/>
      <c r="G263" s="287"/>
      <c r="H263" s="288"/>
      <c r="K263" s="287"/>
      <c r="L263" s="287"/>
      <c r="M263" s="288"/>
      <c r="N263" s="288"/>
      <c r="O263" s="291"/>
      <c r="P263" s="311"/>
      <c r="Q263" s="295"/>
      <c r="R263" s="289" t="str">
        <f>IF(OR(ISNUMBER(#REF!),ISNUMBER(#REF!),ISNUMBER(#REF!),ISNUMBER(#REF!),ISNUMBER(#REF!)),SUM(#REF!,#REF!,#REF!,#REF!,#REF!),"")</f>
        <v/>
      </c>
      <c r="S263" s="294"/>
      <c r="T263" s="294"/>
      <c r="U263" s="294"/>
      <c r="V263" s="294"/>
      <c r="W263" s="294"/>
      <c r="X263" s="294"/>
      <c r="Y263" s="294"/>
      <c r="Z263" s="294"/>
      <c r="AA263" s="294"/>
      <c r="AB263" s="294"/>
      <c r="AC263" s="294"/>
      <c r="AD263" s="294"/>
      <c r="AE263" s="294"/>
      <c r="AF263" s="294"/>
      <c r="AG263" s="294"/>
      <c r="AH263" s="294"/>
      <c r="AI263" s="294"/>
      <c r="AJ263" s="294"/>
      <c r="AK263" s="294"/>
      <c r="AL263" s="294"/>
      <c r="AM263" s="294"/>
      <c r="AN263" s="295"/>
      <c r="AO263" s="295"/>
      <c r="AP263" s="295"/>
      <c r="AQ263" s="295"/>
      <c r="AR263" s="295"/>
      <c r="AS263" s="295"/>
      <c r="AT263" s="295"/>
      <c r="AU263" s="295"/>
      <c r="AV263" s="295"/>
      <c r="AW263" s="295"/>
      <c r="AX263" s="295"/>
      <c r="AY263" s="295"/>
      <c r="AZ263" s="295"/>
      <c r="BA263" s="295"/>
      <c r="BB263" s="295"/>
      <c r="BC263" s="295"/>
      <c r="BD263" s="295"/>
      <c r="BE263" s="295"/>
    </row>
    <row r="264" spans="2:57" s="30" customFormat="1" ht="15.75" x14ac:dyDescent="0.2">
      <c r="B264" s="8"/>
      <c r="C264" s="33"/>
      <c r="D264" s="81"/>
      <c r="E264" s="33"/>
      <c r="F264" s="33"/>
      <c r="G264" s="37"/>
      <c r="H264" s="81"/>
      <c r="J264" s="32"/>
      <c r="K264" s="37"/>
      <c r="L264" s="37"/>
      <c r="M264" s="83"/>
      <c r="N264" s="83"/>
      <c r="O264" s="83"/>
      <c r="P264" s="37"/>
      <c r="Q264" s="34"/>
      <c r="R264" s="102"/>
      <c r="S264" s="35"/>
      <c r="T264" s="43"/>
      <c r="U264" s="43"/>
      <c r="V264" s="43"/>
      <c r="W264" s="43"/>
      <c r="X264" s="43"/>
      <c r="Y264" s="43"/>
      <c r="Z264" s="43"/>
      <c r="AA264" s="43"/>
      <c r="AB264" s="43"/>
      <c r="AC264" s="43"/>
      <c r="AD264" s="43"/>
      <c r="AE264" s="43"/>
      <c r="AF264" s="43"/>
      <c r="AG264" s="43"/>
      <c r="AH264" s="43"/>
      <c r="AI264" s="35"/>
      <c r="AJ264" s="35"/>
      <c r="AK264" s="35"/>
      <c r="AL264" s="35"/>
      <c r="AM264" s="35"/>
      <c r="AN264" s="36"/>
      <c r="AO264" s="36"/>
      <c r="AP264" s="36"/>
      <c r="AQ264" s="36"/>
      <c r="AR264" s="36"/>
      <c r="AS264" s="36"/>
      <c r="AT264" s="36"/>
      <c r="AU264" s="36"/>
      <c r="AV264" s="36"/>
      <c r="AW264" s="36"/>
      <c r="AX264" s="36"/>
      <c r="AY264" s="36"/>
      <c r="AZ264" s="36"/>
      <c r="BA264" s="36"/>
      <c r="BB264" s="36"/>
      <c r="BC264" s="36"/>
      <c r="BD264" s="36"/>
      <c r="BE264" s="36"/>
    </row>
    <row r="265" spans="2:57" s="30" customFormat="1" ht="15" x14ac:dyDescent="0.2">
      <c r="B265" s="151" t="s">
        <v>0</v>
      </c>
      <c r="C265" s="33" t="s">
        <v>50</v>
      </c>
      <c r="D265" s="81"/>
      <c r="E265" s="33"/>
      <c r="F265" s="33"/>
      <c r="G265" s="37" t="s">
        <v>183</v>
      </c>
      <c r="H265" s="81"/>
      <c r="J265" s="32"/>
      <c r="K265" s="37" t="s">
        <v>297</v>
      </c>
      <c r="L265" s="37" t="s">
        <v>185</v>
      </c>
      <c r="M265" s="83"/>
      <c r="N265" s="83"/>
      <c r="O265" s="249" t="s">
        <v>584</v>
      </c>
      <c r="P265" s="37"/>
      <c r="Q265" s="34"/>
      <c r="R265" s="43" t="s">
        <v>318</v>
      </c>
      <c r="S265" s="35"/>
      <c r="T265" s="43" t="s">
        <v>400</v>
      </c>
      <c r="U265" s="43" t="s">
        <v>399</v>
      </c>
      <c r="V265" s="43" t="s">
        <v>397</v>
      </c>
      <c r="W265" s="43" t="s">
        <v>398</v>
      </c>
      <c r="X265" s="43" t="s">
        <v>401</v>
      </c>
      <c r="Y265" s="43" t="s">
        <v>403</v>
      </c>
      <c r="Z265" s="43" t="s">
        <v>402</v>
      </c>
      <c r="AA265" s="43" t="s">
        <v>186</v>
      </c>
      <c r="AB265" s="43" t="s">
        <v>345</v>
      </c>
      <c r="AC265" s="43" t="s">
        <v>404</v>
      </c>
      <c r="AD265" s="43" t="s">
        <v>346</v>
      </c>
      <c r="AE265" s="43" t="s">
        <v>405</v>
      </c>
      <c r="AF265" s="43" t="s">
        <v>406</v>
      </c>
      <c r="AG265" s="43" t="s">
        <v>578</v>
      </c>
      <c r="AH265" s="35" t="s">
        <v>190</v>
      </c>
      <c r="AI265" s="35" t="s">
        <v>249</v>
      </c>
      <c r="AJ265" s="35" t="s">
        <v>191</v>
      </c>
      <c r="AK265" s="104"/>
      <c r="AL265" s="35"/>
      <c r="AM265" s="35"/>
      <c r="AN265" s="36"/>
      <c r="AO265" s="36"/>
      <c r="AP265" s="36"/>
      <c r="AQ265" s="36"/>
      <c r="AR265" s="36"/>
      <c r="AS265" s="36"/>
      <c r="AT265" s="36"/>
      <c r="AU265" s="36"/>
      <c r="AV265" s="36"/>
      <c r="AW265" s="36"/>
      <c r="AX265" s="36"/>
      <c r="AY265" s="36"/>
      <c r="AZ265" s="36"/>
      <c r="BA265" s="36"/>
      <c r="BB265" s="36"/>
      <c r="BC265" s="36"/>
      <c r="BD265" s="36"/>
      <c r="BE265" s="36"/>
    </row>
    <row r="266" spans="2:57" s="30" customFormat="1" ht="30" x14ac:dyDescent="0.2">
      <c r="B266" s="166" t="s">
        <v>501</v>
      </c>
      <c r="C266" s="152"/>
      <c r="D266" s="86" t="s">
        <v>52</v>
      </c>
      <c r="E266" s="57"/>
      <c r="F266" s="55"/>
      <c r="G266" s="157"/>
      <c r="H266" s="81" t="str">
        <f>IF(D266="t","","t/m3")</f>
        <v/>
      </c>
      <c r="J266" s="169" t="s">
        <v>395</v>
      </c>
      <c r="K266" s="92" t="str">
        <f>IFERROR(IF(ISNUMBER(L266),L266,(VLOOKUP(C267,Kalusto!$C$45:$G$84,5,FALSE)*VLOOKUP(C268,Muut!$D$40:$E$43,2,FALSE))),"--")</f>
        <v>--</v>
      </c>
      <c r="L266" s="39"/>
      <c r="M266" s="40" t="s">
        <v>184</v>
      </c>
      <c r="N266" s="40"/>
      <c r="O266" s="250"/>
      <c r="Q266" s="45"/>
      <c r="R266" s="213" t="str">
        <f>IF(AND(NOT(ISNUMBER(AB266)),NOT(ISNUMBER(AG266))),"",IF(ISNUMBER(AB266),AB266,0)+IF(ISNUMBER(AG266),AG266,0))</f>
        <v/>
      </c>
      <c r="S266" s="98" t="s">
        <v>160</v>
      </c>
      <c r="T266" s="211" t="str">
        <f>IFERROR(IF(ISNUMBER(L266),"Kohdetieto",VLOOKUP(C267,Kalusto!$C$45:$L$84,7,FALSE)),"--")</f>
        <v>--</v>
      </c>
      <c r="U266" s="211" t="str">
        <f>IFERROR(IF(ISNUMBER(L266),"Kohdetieto",VLOOKUP(C267,Kalusto!$C$45:$L$84,8,FALSE)),"--")</f>
        <v>--</v>
      </c>
      <c r="V266" s="212" t="str">
        <f>IFERROR(IF(ISNUMBER(L266),"Kohdetieto",VLOOKUP(C267,Kalusto!$C$45:$L$84,9,FALSE)),"--")</f>
        <v>--</v>
      </c>
      <c r="W266" s="212" t="str">
        <f>IFERROR(IF(ISNUMBER(L266),"Kohdetieto",VLOOKUP(C267,Kalusto!$C$45:$L$84,10,FALSE)),"--")</f>
        <v>--</v>
      </c>
      <c r="X266" s="213" t="str">
        <f>IF(ISBLANK(C266),"",IF(D266="t",C266,C266*G266))</f>
        <v/>
      </c>
      <c r="Y266" s="211" t="str">
        <f>IF(ISNUMBER(C269),C269,"")</f>
        <v/>
      </c>
      <c r="Z266" s="213" t="str">
        <f>IF(ISNUMBER(X266/(U266*V266)*Y266),X266/(U266*V266)*Y266,"")</f>
        <v/>
      </c>
      <c r="AA266" s="214" t="str">
        <f>IF(ISNUMBER(L266),L266,K266)</f>
        <v>--</v>
      </c>
      <c r="AB266" s="213" t="str">
        <f>IF(ISNUMBER(Y266*X266*K266),Y266*X266*K266,"")</f>
        <v/>
      </c>
      <c r="AC266" s="213" t="str">
        <f>IF(ISNUMBER(Y266),Y266,"")</f>
        <v/>
      </c>
      <c r="AD266" s="213" t="str">
        <f>IF(ISNUMBER(X266),IF(ISNUMBER(X266/(U266*V266)),CEILING(X266/(U266*V266),1),""),"")</f>
        <v/>
      </c>
      <c r="AE266" s="48" t="str">
        <f>IF(ISNUMBER(AD266*AC266),AD266*AC266,"")</f>
        <v/>
      </c>
      <c r="AF266" s="49" t="str">
        <f>IF(ISNUMBER(L267),L267,K267)</f>
        <v>--</v>
      </c>
      <c r="AG266" s="48" t="str">
        <f>IF(ISNUMBER(AC266*AD266*K267),AC266*AD266*K267,"")</f>
        <v/>
      </c>
      <c r="AH266" s="46">
        <f>IF(T266="Jakelukuorma-auto",0,IF(T266="Maansiirtoauto",4,IF(T266="Puoliperävaunu",6,8)))</f>
        <v>8</v>
      </c>
      <c r="AI266" s="46">
        <f>IF(AND(T266="Jakelukuorma-auto",U266=6),0,IF(AND(T266="Jakelukuorma-auto",U266=15),2,0))</f>
        <v>0</v>
      </c>
      <c r="AJ266" s="46">
        <f>IF(W266="maantieajo",0,1)</f>
        <v>1</v>
      </c>
      <c r="AK266" s="104"/>
      <c r="AL266" s="35"/>
      <c r="AM266" s="35"/>
      <c r="AN266" s="36"/>
      <c r="AO266" s="36"/>
      <c r="AP266" s="36"/>
      <c r="AQ266" s="36"/>
      <c r="AR266" s="36"/>
      <c r="AS266" s="36"/>
      <c r="AT266" s="36"/>
      <c r="AU266" s="36"/>
      <c r="AV266" s="36"/>
      <c r="AW266" s="36"/>
      <c r="AX266" s="36"/>
      <c r="AY266" s="36"/>
      <c r="AZ266" s="36"/>
      <c r="BA266" s="36"/>
      <c r="BB266" s="36"/>
      <c r="BC266" s="36"/>
      <c r="BD266" s="36"/>
      <c r="BE266" s="36"/>
    </row>
    <row r="267" spans="2:57" s="30" customFormat="1" ht="30" x14ac:dyDescent="0.2">
      <c r="B267" s="166" t="s">
        <v>499</v>
      </c>
      <c r="C267" s="471" t="s">
        <v>298</v>
      </c>
      <c r="D267" s="472"/>
      <c r="E267" s="472"/>
      <c r="F267" s="472"/>
      <c r="G267" s="473"/>
      <c r="J267" s="32" t="s">
        <v>396</v>
      </c>
      <c r="K267" s="92" t="str">
        <f>IFERROR(IF(ISNUMBER(L267),L267,(VLOOKUP(C267,Kalusto!$C$45:$V$84,19,FALSE)*(VLOOKUP(C268,Muut!$D$40:$E$43,2,FALSE)))),"--")</f>
        <v>--</v>
      </c>
      <c r="L267" s="39"/>
      <c r="M267" s="40" t="s">
        <v>188</v>
      </c>
      <c r="N267" s="40"/>
      <c r="O267" s="259"/>
      <c r="P267" s="33"/>
      <c r="Q267" s="50"/>
      <c r="R267" s="43"/>
      <c r="S267" s="35"/>
      <c r="T267" s="43"/>
      <c r="U267" s="43"/>
      <c r="V267" s="43"/>
      <c r="W267" s="43"/>
      <c r="X267" s="43"/>
      <c r="Y267" s="43"/>
      <c r="Z267" s="43"/>
      <c r="AA267" s="43"/>
      <c r="AB267" s="43"/>
      <c r="AC267" s="43"/>
      <c r="AD267" s="43"/>
      <c r="AE267" s="35"/>
      <c r="AF267" s="35"/>
      <c r="AG267" s="35"/>
      <c r="AH267" s="35"/>
      <c r="AI267" s="35"/>
      <c r="AJ267" s="35"/>
      <c r="AK267" s="104"/>
      <c r="AL267" s="35"/>
      <c r="AM267" s="35"/>
      <c r="AN267" s="36"/>
      <c r="AO267" s="36"/>
      <c r="AP267" s="36"/>
      <c r="AQ267" s="36"/>
      <c r="AR267" s="36"/>
      <c r="AS267" s="36"/>
      <c r="AT267" s="36"/>
      <c r="AU267" s="36"/>
      <c r="AV267" s="36"/>
      <c r="AW267" s="36"/>
      <c r="AX267" s="36"/>
      <c r="AY267" s="36"/>
      <c r="AZ267" s="36"/>
      <c r="BA267" s="36"/>
      <c r="BB267" s="36"/>
      <c r="BC267" s="36"/>
      <c r="BD267" s="36"/>
      <c r="BE267" s="36"/>
    </row>
    <row r="268" spans="2:57" s="30" customFormat="1" ht="15" x14ac:dyDescent="0.2">
      <c r="B268" s="182" t="s">
        <v>457</v>
      </c>
      <c r="C268" s="156" t="s">
        <v>309</v>
      </c>
      <c r="D268" s="33"/>
      <c r="E268" s="33"/>
      <c r="F268" s="33"/>
      <c r="G268" s="33"/>
      <c r="H268" s="57"/>
      <c r="J268" s="169"/>
      <c r="K268" s="169"/>
      <c r="L268" s="169"/>
      <c r="M268" s="40"/>
      <c r="N268" s="40"/>
      <c r="O268" s="259"/>
      <c r="Q268" s="45"/>
      <c r="R268" s="226"/>
      <c r="S268" s="98"/>
      <c r="T268" s="43"/>
      <c r="U268" s="43"/>
      <c r="V268" s="215"/>
      <c r="W268" s="215"/>
      <c r="X268" s="216"/>
      <c r="Y268" s="43"/>
      <c r="Z268" s="216"/>
      <c r="AA268" s="217"/>
      <c r="AB268" s="216"/>
      <c r="AC268" s="216"/>
      <c r="AD268" s="216"/>
      <c r="AE268" s="59"/>
      <c r="AF268" s="178"/>
      <c r="AG268" s="59"/>
      <c r="AH268" s="35"/>
      <c r="AI268" s="35"/>
      <c r="AJ268" s="35"/>
      <c r="AK268" s="104"/>
      <c r="AL268" s="35"/>
      <c r="AM268" s="35"/>
      <c r="AN268" s="36"/>
      <c r="AO268" s="36"/>
      <c r="AP268" s="36"/>
      <c r="AQ268" s="36"/>
      <c r="AR268" s="36"/>
      <c r="AS268" s="36"/>
      <c r="AT268" s="36"/>
      <c r="AU268" s="36"/>
      <c r="AV268" s="36"/>
      <c r="AW268" s="36"/>
      <c r="AX268" s="36"/>
      <c r="AY268" s="36"/>
      <c r="AZ268" s="36"/>
      <c r="BA268" s="36"/>
      <c r="BB268" s="36"/>
      <c r="BC268" s="36"/>
      <c r="BD268" s="36"/>
      <c r="BE268" s="36"/>
    </row>
    <row r="269" spans="2:57" s="30" customFormat="1" ht="15" x14ac:dyDescent="0.2">
      <c r="B269" s="44" t="s">
        <v>498</v>
      </c>
      <c r="C269" s="152"/>
      <c r="D269" s="81" t="s">
        <v>5</v>
      </c>
      <c r="G269" s="33"/>
      <c r="H269" s="52"/>
      <c r="I269" s="51"/>
      <c r="J269" s="51"/>
      <c r="K269" s="33"/>
      <c r="L269" s="33"/>
      <c r="M269" s="81"/>
      <c r="N269" s="81"/>
      <c r="O269" s="96"/>
      <c r="P269" s="51"/>
      <c r="Q269" s="50"/>
      <c r="R269" s="43"/>
      <c r="S269" s="35"/>
      <c r="T269" s="43"/>
      <c r="U269" s="43"/>
      <c r="V269" s="43"/>
      <c r="W269" s="43"/>
      <c r="X269" s="43"/>
      <c r="Y269" s="43"/>
      <c r="Z269" s="43"/>
      <c r="AA269" s="43"/>
      <c r="AB269" s="43"/>
      <c r="AC269" s="43"/>
      <c r="AD269" s="43"/>
      <c r="AE269" s="35"/>
      <c r="AF269" s="35"/>
      <c r="AG269" s="35"/>
      <c r="AH269" s="35"/>
      <c r="AI269" s="35"/>
      <c r="AJ269" s="35"/>
      <c r="AK269" s="104"/>
      <c r="AL269" s="35"/>
      <c r="AM269" s="35"/>
      <c r="AN269" s="36"/>
      <c r="AO269" s="36"/>
      <c r="AP269" s="36"/>
      <c r="AQ269" s="36"/>
      <c r="AR269" s="36"/>
      <c r="AS269" s="36"/>
      <c r="AT269" s="36"/>
      <c r="AU269" s="36"/>
      <c r="AV269" s="36"/>
      <c r="AW269" s="36"/>
      <c r="AX269" s="36"/>
      <c r="AY269" s="36"/>
      <c r="AZ269" s="36"/>
      <c r="BA269" s="36"/>
      <c r="BB269" s="36"/>
      <c r="BC269" s="36"/>
      <c r="BD269" s="36"/>
      <c r="BE269" s="36"/>
    </row>
    <row r="270" spans="2:57" s="30" customFormat="1" ht="15" x14ac:dyDescent="0.2">
      <c r="B270" s="151" t="s">
        <v>1</v>
      </c>
      <c r="C270" s="33"/>
      <c r="D270" s="81"/>
      <c r="E270" s="33"/>
      <c r="F270" s="33"/>
      <c r="G270" s="37"/>
      <c r="H270" s="81"/>
      <c r="J270" s="32"/>
      <c r="K270" s="37" t="s">
        <v>297</v>
      </c>
      <c r="L270" s="37" t="s">
        <v>185</v>
      </c>
      <c r="M270" s="81"/>
      <c r="N270" s="81"/>
      <c r="O270" s="96"/>
      <c r="P270" s="33"/>
      <c r="Q270" s="34"/>
      <c r="R270" s="43" t="s">
        <v>318</v>
      </c>
      <c r="S270" s="35"/>
      <c r="T270" s="43" t="s">
        <v>400</v>
      </c>
      <c r="U270" s="43" t="s">
        <v>399</v>
      </c>
      <c r="V270" s="43" t="s">
        <v>397</v>
      </c>
      <c r="W270" s="43" t="s">
        <v>398</v>
      </c>
      <c r="X270" s="43" t="s">
        <v>401</v>
      </c>
      <c r="Y270" s="43" t="s">
        <v>403</v>
      </c>
      <c r="Z270" s="43" t="s">
        <v>402</v>
      </c>
      <c r="AA270" s="43" t="s">
        <v>186</v>
      </c>
      <c r="AB270" s="43" t="s">
        <v>345</v>
      </c>
      <c r="AC270" s="43" t="s">
        <v>404</v>
      </c>
      <c r="AD270" s="43" t="s">
        <v>346</v>
      </c>
      <c r="AE270" s="43" t="s">
        <v>405</v>
      </c>
      <c r="AF270" s="43" t="s">
        <v>406</v>
      </c>
      <c r="AG270" s="43" t="s">
        <v>578</v>
      </c>
      <c r="AH270" s="35" t="s">
        <v>190</v>
      </c>
      <c r="AI270" s="35" t="s">
        <v>249</v>
      </c>
      <c r="AJ270" s="35" t="s">
        <v>191</v>
      </c>
      <c r="AK270" s="104"/>
      <c r="AL270" s="35"/>
      <c r="AM270" s="35"/>
      <c r="AN270" s="36"/>
      <c r="AO270" s="36"/>
      <c r="AP270" s="36"/>
      <c r="AQ270" s="36"/>
      <c r="AR270" s="36"/>
      <c r="AS270" s="36"/>
      <c r="AT270" s="36"/>
      <c r="AU270" s="36"/>
      <c r="AV270" s="36"/>
      <c r="AW270" s="36"/>
      <c r="AX270" s="36"/>
      <c r="AY270" s="36"/>
      <c r="AZ270" s="36"/>
      <c r="BA270" s="36"/>
      <c r="BB270" s="36"/>
      <c r="BC270" s="36"/>
      <c r="BD270" s="36"/>
      <c r="BE270" s="36"/>
    </row>
    <row r="271" spans="2:57" s="30" customFormat="1" ht="30" x14ac:dyDescent="0.2">
      <c r="B271" s="166" t="s">
        <v>501</v>
      </c>
      <c r="C271" s="152"/>
      <c r="D271" s="86" t="s">
        <v>52</v>
      </c>
      <c r="E271" s="57"/>
      <c r="F271" s="55"/>
      <c r="G271" s="157"/>
      <c r="H271" s="81" t="str">
        <f>IF(D271="t","","t/m3")</f>
        <v/>
      </c>
      <c r="J271" s="169" t="s">
        <v>395</v>
      </c>
      <c r="K271" s="92" t="str">
        <f>IFERROR(IF(ISNUMBER(L271),L271,(VLOOKUP(C272,Kalusto!$C$45:$G$84,5,FALSE)*VLOOKUP(C273,Muut!$D$40:$E$43,2,FALSE))),"--")</f>
        <v>--</v>
      </c>
      <c r="L271" s="39"/>
      <c r="M271" s="40" t="s">
        <v>184</v>
      </c>
      <c r="N271" s="40"/>
      <c r="O271" s="259"/>
      <c r="Q271" s="45"/>
      <c r="R271" s="213" t="str">
        <f>IF(AND(NOT(ISNUMBER(AB271)),NOT(ISNUMBER(AG271))),"",IF(ISNUMBER(AB271),AB271,0)+IF(ISNUMBER(AG271),AG271,0))</f>
        <v/>
      </c>
      <c r="S271" s="98" t="s">
        <v>160</v>
      </c>
      <c r="T271" s="211" t="str">
        <f>IFERROR(IF(ISNUMBER(L271),"Kohdetieto",VLOOKUP(C272,Kalusto!$C$45:$L$84,7,FALSE)),"--")</f>
        <v>--</v>
      </c>
      <c r="U271" s="211" t="str">
        <f>IFERROR(IF(ISNUMBER(L271),"Kohdetieto",VLOOKUP(C272,Kalusto!$C$45:$L$84,8,FALSE)),"--")</f>
        <v>--</v>
      </c>
      <c r="V271" s="212" t="str">
        <f>IFERROR(IF(ISNUMBER(L271),"Kohdetieto",VLOOKUP(C272,Kalusto!$C$45:$L$84,9,FALSE)),"--")</f>
        <v>--</v>
      </c>
      <c r="W271" s="212" t="str">
        <f>IFERROR(IF(ISNUMBER(L271),"Kohdetieto",VLOOKUP(C272,Kalusto!$C$45:$L$84,10,FALSE)),"--")</f>
        <v>--</v>
      </c>
      <c r="X271" s="213" t="str">
        <f>IF(ISBLANK(C271),"",IF(D271="t",C271,C271*G271))</f>
        <v/>
      </c>
      <c r="Y271" s="211" t="str">
        <f>IF(ISNUMBER(C274),C274,"")</f>
        <v/>
      </c>
      <c r="Z271" s="213" t="str">
        <f>IF(ISNUMBER(X271/(U271*V271)*Y271),X271/(U271*V271)*Y271,"")</f>
        <v/>
      </c>
      <c r="AA271" s="214" t="str">
        <f>IF(ISNUMBER(L271),L271,K271)</f>
        <v>--</v>
      </c>
      <c r="AB271" s="213" t="str">
        <f>IF(ISNUMBER(Y271*X271*K271),Y271*X271*K271,"")</f>
        <v/>
      </c>
      <c r="AC271" s="213" t="str">
        <f>IF(ISNUMBER(Y271),Y271,"")</f>
        <v/>
      </c>
      <c r="AD271" s="213" t="str">
        <f>IF(ISNUMBER(X271),IF(ISNUMBER(X271/(U271*V271)),CEILING(X271/(U271*V271),1),""),"")</f>
        <v/>
      </c>
      <c r="AE271" s="48" t="str">
        <f>IF(ISNUMBER(AD271*AC271),AD271*AC271,"")</f>
        <v/>
      </c>
      <c r="AF271" s="49" t="str">
        <f>IF(ISNUMBER(L272),L272,K272)</f>
        <v>--</v>
      </c>
      <c r="AG271" s="48" t="str">
        <f>IF(ISNUMBER(AC271*AD271*K272),AC271*AD271*K272,"")</f>
        <v/>
      </c>
      <c r="AH271" s="46">
        <f>IF(T271="Jakelukuorma-auto",0,IF(T271="Maansiirtoauto",4,IF(T271="Puoliperävaunu",6,8)))</f>
        <v>8</v>
      </c>
      <c r="AI271" s="46">
        <f>IF(AND(T271="Jakelukuorma-auto",U271=6),0,IF(AND(T271="Jakelukuorma-auto",U271=15),2,0))</f>
        <v>0</v>
      </c>
      <c r="AJ271" s="46">
        <f>IF(W271="maantieajo",0,1)</f>
        <v>1</v>
      </c>
      <c r="AK271" s="104"/>
      <c r="AL271" s="35"/>
      <c r="AM271" s="35"/>
      <c r="AN271" s="36"/>
      <c r="AO271" s="36"/>
      <c r="AP271" s="36"/>
      <c r="AQ271" s="36"/>
      <c r="AR271" s="36"/>
      <c r="AS271" s="36"/>
      <c r="AT271" s="36"/>
      <c r="AU271" s="36"/>
      <c r="AV271" s="36"/>
      <c r="AW271" s="36"/>
      <c r="AX271" s="36"/>
      <c r="AY271" s="36"/>
      <c r="AZ271" s="36"/>
      <c r="BA271" s="36"/>
      <c r="BB271" s="36"/>
      <c r="BC271" s="36"/>
      <c r="BD271" s="36"/>
      <c r="BE271" s="36"/>
    </row>
    <row r="272" spans="2:57" s="30" customFormat="1" ht="30" x14ac:dyDescent="0.2">
      <c r="B272" s="166" t="s">
        <v>499</v>
      </c>
      <c r="C272" s="471" t="s">
        <v>298</v>
      </c>
      <c r="D272" s="472"/>
      <c r="E272" s="472"/>
      <c r="F272" s="472"/>
      <c r="G272" s="473"/>
      <c r="H272" s="30" t="s">
        <v>187</v>
      </c>
      <c r="J272" s="32" t="s">
        <v>396</v>
      </c>
      <c r="K272" s="92" t="str">
        <f>IFERROR(IF(ISNUMBER(L272),L272,(VLOOKUP(C272,Kalusto!$C$45:$V$84,19,FALSE)*(VLOOKUP(C273,Muut!$D$40:$E$43,2,FALSE)))),"--")</f>
        <v>--</v>
      </c>
      <c r="L272" s="39"/>
      <c r="M272" s="40" t="s">
        <v>188</v>
      </c>
      <c r="N272" s="40"/>
      <c r="O272" s="259"/>
      <c r="P272" s="33"/>
      <c r="Q272" s="50"/>
      <c r="R272" s="43"/>
      <c r="S272" s="35"/>
      <c r="T272" s="43"/>
      <c r="U272" s="43"/>
      <c r="V272" s="43"/>
      <c r="W272" s="43"/>
      <c r="X272" s="43"/>
      <c r="Y272" s="43"/>
      <c r="Z272" s="43"/>
      <c r="AA272" s="43"/>
      <c r="AB272" s="43"/>
      <c r="AC272" s="43"/>
      <c r="AD272" s="43"/>
      <c r="AE272" s="35"/>
      <c r="AF272" s="35"/>
      <c r="AG272" s="35"/>
      <c r="AH272" s="35"/>
      <c r="AI272" s="35"/>
      <c r="AJ272" s="35"/>
      <c r="AK272" s="104"/>
      <c r="AL272" s="35"/>
      <c r="AM272" s="35"/>
      <c r="AN272" s="36"/>
      <c r="AO272" s="36"/>
      <c r="AP272" s="36"/>
      <c r="AQ272" s="36"/>
      <c r="AR272" s="36"/>
      <c r="AS272" s="36"/>
      <c r="AT272" s="36"/>
      <c r="AU272" s="36"/>
      <c r="AV272" s="36"/>
      <c r="AW272" s="36"/>
      <c r="AX272" s="36"/>
      <c r="AY272" s="36"/>
      <c r="AZ272" s="36"/>
      <c r="BA272" s="36"/>
      <c r="BB272" s="36"/>
      <c r="BC272" s="36"/>
      <c r="BD272" s="36"/>
      <c r="BE272" s="36"/>
    </row>
    <row r="273" spans="2:57" s="30" customFormat="1" ht="15" x14ac:dyDescent="0.2">
      <c r="B273" s="182" t="s">
        <v>457</v>
      </c>
      <c r="C273" s="156" t="s">
        <v>309</v>
      </c>
      <c r="D273" s="33"/>
      <c r="E273" s="33"/>
      <c r="F273" s="33"/>
      <c r="G273" s="33"/>
      <c r="H273" s="57"/>
      <c r="J273" s="169"/>
      <c r="K273" s="169"/>
      <c r="L273" s="169"/>
      <c r="M273" s="40"/>
      <c r="N273" s="40"/>
      <c r="O273" s="259"/>
      <c r="Q273" s="45"/>
      <c r="R273" s="226"/>
      <c r="S273" s="98"/>
      <c r="T273" s="43"/>
      <c r="U273" s="43"/>
      <c r="V273" s="215"/>
      <c r="W273" s="215"/>
      <c r="X273" s="216"/>
      <c r="Y273" s="43"/>
      <c r="Z273" s="216"/>
      <c r="AA273" s="217"/>
      <c r="AB273" s="216"/>
      <c r="AC273" s="216"/>
      <c r="AD273" s="216"/>
      <c r="AE273" s="59"/>
      <c r="AF273" s="178"/>
      <c r="AG273" s="59"/>
      <c r="AH273" s="35"/>
      <c r="AI273" s="35"/>
      <c r="AJ273" s="35"/>
      <c r="AK273" s="104"/>
      <c r="AL273" s="35"/>
      <c r="AM273" s="35"/>
      <c r="AN273" s="36"/>
      <c r="AO273" s="36"/>
      <c r="AP273" s="36"/>
      <c r="AQ273" s="36"/>
      <c r="AR273" s="36"/>
      <c r="AS273" s="36"/>
      <c r="AT273" s="36"/>
      <c r="AU273" s="36"/>
      <c r="AV273" s="36"/>
      <c r="AW273" s="36"/>
      <c r="AX273" s="36"/>
      <c r="AY273" s="36"/>
      <c r="AZ273" s="36"/>
      <c r="BA273" s="36"/>
      <c r="BB273" s="36"/>
      <c r="BC273" s="36"/>
      <c r="BD273" s="36"/>
      <c r="BE273" s="36"/>
    </row>
    <row r="274" spans="2:57" s="30" customFormat="1" ht="15" x14ac:dyDescent="0.2">
      <c r="B274" s="44" t="s">
        <v>498</v>
      </c>
      <c r="C274" s="152"/>
      <c r="D274" s="81" t="s">
        <v>5</v>
      </c>
      <c r="G274" s="33"/>
      <c r="H274" s="52"/>
      <c r="I274" s="51"/>
      <c r="J274" s="51"/>
      <c r="K274" s="33"/>
      <c r="L274" s="33"/>
      <c r="M274" s="81"/>
      <c r="N274" s="81"/>
      <c r="O274" s="96"/>
      <c r="P274" s="51"/>
      <c r="Q274" s="50"/>
      <c r="R274" s="43"/>
      <c r="S274" s="35"/>
      <c r="T274" s="43"/>
      <c r="U274" s="43"/>
      <c r="V274" s="43"/>
      <c r="W274" s="43"/>
      <c r="X274" s="43"/>
      <c r="Y274" s="43"/>
      <c r="Z274" s="43"/>
      <c r="AA274" s="43"/>
      <c r="AB274" s="43"/>
      <c r="AC274" s="43"/>
      <c r="AD274" s="43"/>
      <c r="AE274" s="35"/>
      <c r="AF274" s="35"/>
      <c r="AG274" s="35"/>
      <c r="AH274" s="35"/>
      <c r="AI274" s="35"/>
      <c r="AJ274" s="35"/>
      <c r="AK274" s="104"/>
      <c r="AL274" s="35"/>
      <c r="AM274" s="35"/>
      <c r="AN274" s="36"/>
      <c r="AO274" s="36"/>
      <c r="AP274" s="36"/>
      <c r="AQ274" s="36"/>
      <c r="AR274" s="36"/>
      <c r="AS274" s="36"/>
      <c r="AT274" s="36"/>
      <c r="AU274" s="36"/>
      <c r="AV274" s="36"/>
      <c r="AW274" s="36"/>
      <c r="AX274" s="36"/>
      <c r="AY274" s="36"/>
      <c r="AZ274" s="36"/>
      <c r="BA274" s="36"/>
      <c r="BB274" s="36"/>
      <c r="BC274" s="36"/>
      <c r="BD274" s="36"/>
      <c r="BE274" s="36"/>
    </row>
    <row r="275" spans="2:57" s="30" customFormat="1" ht="15" x14ac:dyDescent="0.2">
      <c r="B275" s="151" t="s">
        <v>2</v>
      </c>
      <c r="C275" s="33"/>
      <c r="D275" s="81"/>
      <c r="E275" s="33"/>
      <c r="F275" s="33"/>
      <c r="G275" s="37"/>
      <c r="H275" s="81"/>
      <c r="J275" s="32"/>
      <c r="K275" s="37" t="s">
        <v>297</v>
      </c>
      <c r="L275" s="37" t="s">
        <v>185</v>
      </c>
      <c r="M275" s="81"/>
      <c r="N275" s="81"/>
      <c r="O275" s="96"/>
      <c r="P275" s="33"/>
      <c r="Q275" s="34"/>
      <c r="R275" s="43" t="s">
        <v>318</v>
      </c>
      <c r="S275" s="35"/>
      <c r="T275" s="43" t="s">
        <v>400</v>
      </c>
      <c r="U275" s="43" t="s">
        <v>399</v>
      </c>
      <c r="V275" s="43" t="s">
        <v>397</v>
      </c>
      <c r="W275" s="43" t="s">
        <v>398</v>
      </c>
      <c r="X275" s="43" t="s">
        <v>401</v>
      </c>
      <c r="Y275" s="43" t="s">
        <v>403</v>
      </c>
      <c r="Z275" s="43" t="s">
        <v>402</v>
      </c>
      <c r="AA275" s="43" t="s">
        <v>186</v>
      </c>
      <c r="AB275" s="43" t="s">
        <v>345</v>
      </c>
      <c r="AC275" s="43" t="s">
        <v>404</v>
      </c>
      <c r="AD275" s="43" t="s">
        <v>346</v>
      </c>
      <c r="AE275" s="43" t="s">
        <v>405</v>
      </c>
      <c r="AF275" s="43" t="s">
        <v>406</v>
      </c>
      <c r="AG275" s="43" t="s">
        <v>578</v>
      </c>
      <c r="AH275" s="35" t="s">
        <v>190</v>
      </c>
      <c r="AI275" s="35" t="s">
        <v>249</v>
      </c>
      <c r="AJ275" s="35" t="s">
        <v>191</v>
      </c>
      <c r="AK275" s="104"/>
      <c r="AL275" s="35"/>
      <c r="AM275" s="35"/>
      <c r="AN275" s="36"/>
      <c r="AO275" s="36"/>
      <c r="AP275" s="36"/>
      <c r="AQ275" s="36"/>
      <c r="AR275" s="36"/>
      <c r="AS275" s="36"/>
      <c r="AT275" s="36"/>
      <c r="AU275" s="36"/>
      <c r="AV275" s="36"/>
      <c r="AW275" s="36"/>
      <c r="AX275" s="36"/>
      <c r="AY275" s="36"/>
      <c r="AZ275" s="36"/>
      <c r="BA275" s="36"/>
      <c r="BB275" s="36"/>
      <c r="BC275" s="36"/>
      <c r="BD275" s="36"/>
      <c r="BE275" s="36"/>
    </row>
    <row r="276" spans="2:57" s="30" customFormat="1" ht="30" x14ac:dyDescent="0.2">
      <c r="B276" s="166" t="s">
        <v>501</v>
      </c>
      <c r="C276" s="152"/>
      <c r="D276" s="86" t="s">
        <v>52</v>
      </c>
      <c r="E276" s="57"/>
      <c r="F276" s="55"/>
      <c r="G276" s="157"/>
      <c r="H276" s="81" t="str">
        <f>IF(D276="t","","t/m3")</f>
        <v/>
      </c>
      <c r="J276" s="169" t="s">
        <v>395</v>
      </c>
      <c r="K276" s="92" t="str">
        <f>IFERROR(IF(ISNUMBER(L276),L276,(VLOOKUP(C277,Kalusto!$C$45:$G$84,5,FALSE)*VLOOKUP(C278,Muut!$D$40:$E$43,2,FALSE))),"--")</f>
        <v>--</v>
      </c>
      <c r="L276" s="39"/>
      <c r="M276" s="40" t="s">
        <v>184</v>
      </c>
      <c r="N276" s="40"/>
      <c r="O276" s="259"/>
      <c r="Q276" s="45"/>
      <c r="R276" s="213" t="str">
        <f>IF(AND(NOT(ISNUMBER(AB276)),NOT(ISNUMBER(AG276))),"",IF(ISNUMBER(AB276),AB276,0)+IF(ISNUMBER(AG276),AG276,0))</f>
        <v/>
      </c>
      <c r="S276" s="98" t="s">
        <v>160</v>
      </c>
      <c r="T276" s="211" t="str">
        <f>IFERROR(IF(ISNUMBER(L276),"Kohdetieto",VLOOKUP(C277,Kalusto!$C$45:$L$84,7,FALSE)),"--")</f>
        <v>--</v>
      </c>
      <c r="U276" s="211" t="str">
        <f>IFERROR(IF(ISNUMBER(L276),"Kohdetieto",VLOOKUP(C277,Kalusto!$C$45:$L$84,8,FALSE)),"--")</f>
        <v>--</v>
      </c>
      <c r="V276" s="212" t="str">
        <f>IFERROR(IF(ISNUMBER(L276),"Kohdetieto",VLOOKUP(C277,Kalusto!$C$45:$L$84,9,FALSE)),"--")</f>
        <v>--</v>
      </c>
      <c r="W276" s="212" t="str">
        <f>IFERROR(IF(ISNUMBER(L276),"Kohdetieto",VLOOKUP(C277,Kalusto!$C$45:$L$84,10,FALSE)),"--")</f>
        <v>--</v>
      </c>
      <c r="X276" s="213" t="str">
        <f>IF(ISBLANK(C276),"",IF(D276="t",C276,C276*G276))</f>
        <v/>
      </c>
      <c r="Y276" s="211" t="str">
        <f>IF(ISNUMBER(C279),C279,"")</f>
        <v/>
      </c>
      <c r="Z276" s="213" t="str">
        <f>IF(ISNUMBER(X276/(U276*V276)*Y276),X276/(U276*V276)*Y276,"")</f>
        <v/>
      </c>
      <c r="AA276" s="214" t="str">
        <f>IF(ISNUMBER(L276),L276,K276)</f>
        <v>--</v>
      </c>
      <c r="AB276" s="213" t="str">
        <f>IF(ISNUMBER(Y276*X276*K276),Y276*X276*K276,"")</f>
        <v/>
      </c>
      <c r="AC276" s="213" t="str">
        <f>IF(ISNUMBER(Y276),Y276,"")</f>
        <v/>
      </c>
      <c r="AD276" s="213" t="str">
        <f>IF(ISNUMBER(X276),IF(ISNUMBER(X276/(U276*V276)),CEILING(X276/(U276*V276),1),""),"")</f>
        <v/>
      </c>
      <c r="AE276" s="48" t="str">
        <f>IF(ISNUMBER(AD276*AC276),AD276*AC276,"")</f>
        <v/>
      </c>
      <c r="AF276" s="49" t="str">
        <f>IF(ISNUMBER(L277),L277,K277)</f>
        <v>--</v>
      </c>
      <c r="AG276" s="48" t="str">
        <f>IF(ISNUMBER(AC276*AD276*K277),AC276*AD276*K277,"")</f>
        <v/>
      </c>
      <c r="AH276" s="46">
        <f>IF(T276="Jakelukuorma-auto",0,IF(T276="Maansiirtoauto",4,IF(T276="Puoliperävaunu",6,8)))</f>
        <v>8</v>
      </c>
      <c r="AI276" s="46">
        <f>IF(AND(T276="Jakelukuorma-auto",U276=6),0,IF(AND(T276="Jakelukuorma-auto",U276=15),2,0))</f>
        <v>0</v>
      </c>
      <c r="AJ276" s="46">
        <f>IF(W276="maantieajo",0,1)</f>
        <v>1</v>
      </c>
      <c r="AK276" s="104"/>
      <c r="AL276" s="35"/>
      <c r="AM276" s="35"/>
      <c r="AN276" s="36"/>
      <c r="AO276" s="36"/>
      <c r="AP276" s="36"/>
      <c r="AQ276" s="36"/>
      <c r="AR276" s="36"/>
      <c r="AS276" s="36"/>
      <c r="AT276" s="36"/>
      <c r="AU276" s="36"/>
      <c r="AV276" s="36"/>
      <c r="AW276" s="36"/>
      <c r="AX276" s="36"/>
      <c r="AY276" s="36"/>
      <c r="AZ276" s="36"/>
      <c r="BA276" s="36"/>
      <c r="BB276" s="36"/>
      <c r="BC276" s="36"/>
      <c r="BD276" s="36"/>
      <c r="BE276" s="36"/>
    </row>
    <row r="277" spans="2:57" s="30" customFormat="1" ht="30" x14ac:dyDescent="0.2">
      <c r="B277" s="166" t="s">
        <v>499</v>
      </c>
      <c r="C277" s="471" t="s">
        <v>298</v>
      </c>
      <c r="D277" s="472"/>
      <c r="E277" s="472"/>
      <c r="F277" s="472"/>
      <c r="G277" s="473"/>
      <c r="J277" s="32" t="s">
        <v>396</v>
      </c>
      <c r="K277" s="92" t="str">
        <f>IFERROR(IF(ISNUMBER(L277),L277,(VLOOKUP(C277,Kalusto!$C$45:$V$84,19,FALSE)*(VLOOKUP(C278,Muut!$D$40:$E$43,2,FALSE)))),"--")</f>
        <v>--</v>
      </c>
      <c r="L277" s="39"/>
      <c r="M277" s="40" t="s">
        <v>188</v>
      </c>
      <c r="N277" s="40"/>
      <c r="O277" s="259"/>
      <c r="P277" s="33"/>
      <c r="Q277" s="50"/>
      <c r="R277" s="43"/>
      <c r="S277" s="35"/>
      <c r="T277" s="43"/>
      <c r="U277" s="43"/>
      <c r="V277" s="43"/>
      <c r="W277" s="43"/>
      <c r="X277" s="43"/>
      <c r="Y277" s="43"/>
      <c r="Z277" s="43"/>
      <c r="AA277" s="43"/>
      <c r="AB277" s="43"/>
      <c r="AC277" s="43"/>
      <c r="AD277" s="43"/>
      <c r="AE277" s="35"/>
      <c r="AF277" s="35"/>
      <c r="AG277" s="35"/>
      <c r="AH277" s="35"/>
      <c r="AI277" s="35"/>
      <c r="AJ277" s="35"/>
      <c r="AK277" s="104"/>
      <c r="AL277" s="35"/>
      <c r="AM277" s="35"/>
      <c r="AN277" s="36"/>
      <c r="AO277" s="36"/>
      <c r="AP277" s="36"/>
      <c r="AQ277" s="36"/>
      <c r="AR277" s="36"/>
      <c r="AS277" s="36"/>
      <c r="AT277" s="36"/>
      <c r="AU277" s="36"/>
      <c r="AV277" s="36"/>
      <c r="AW277" s="36"/>
      <c r="AX277" s="36"/>
      <c r="AY277" s="36"/>
      <c r="AZ277" s="36"/>
      <c r="BA277" s="36"/>
      <c r="BB277" s="36"/>
      <c r="BC277" s="36"/>
      <c r="BD277" s="36"/>
      <c r="BE277" s="36"/>
    </row>
    <row r="278" spans="2:57" s="30" customFormat="1" ht="15" x14ac:dyDescent="0.2">
      <c r="B278" s="182" t="s">
        <v>457</v>
      </c>
      <c r="C278" s="156" t="s">
        <v>309</v>
      </c>
      <c r="D278" s="33"/>
      <c r="E278" s="33"/>
      <c r="F278" s="33"/>
      <c r="G278" s="33"/>
      <c r="H278" s="57"/>
      <c r="J278" s="169"/>
      <c r="K278" s="169"/>
      <c r="L278" s="169"/>
      <c r="M278" s="40"/>
      <c r="N278" s="40"/>
      <c r="O278" s="259"/>
      <c r="Q278" s="45"/>
      <c r="R278" s="226"/>
      <c r="S278" s="98"/>
      <c r="T278" s="43"/>
      <c r="U278" s="43"/>
      <c r="V278" s="215"/>
      <c r="W278" s="215"/>
      <c r="X278" s="216"/>
      <c r="Y278" s="43"/>
      <c r="Z278" s="216"/>
      <c r="AA278" s="217"/>
      <c r="AB278" s="216"/>
      <c r="AC278" s="216"/>
      <c r="AD278" s="216"/>
      <c r="AE278" s="59"/>
      <c r="AF278" s="178"/>
      <c r="AG278" s="59"/>
      <c r="AH278" s="35"/>
      <c r="AI278" s="35"/>
      <c r="AJ278" s="35"/>
      <c r="AK278" s="104"/>
      <c r="AL278" s="35"/>
      <c r="AM278" s="35"/>
      <c r="AN278" s="36"/>
      <c r="AO278" s="36"/>
      <c r="AP278" s="36"/>
      <c r="AQ278" s="36"/>
      <c r="AR278" s="36"/>
      <c r="AS278" s="36"/>
      <c r="AT278" s="36"/>
      <c r="AU278" s="36"/>
      <c r="AV278" s="36"/>
      <c r="AW278" s="36"/>
      <c r="AX278" s="36"/>
      <c r="AY278" s="36"/>
      <c r="AZ278" s="36"/>
      <c r="BA278" s="36"/>
      <c r="BB278" s="36"/>
      <c r="BC278" s="36"/>
      <c r="BD278" s="36"/>
      <c r="BE278" s="36"/>
    </row>
    <row r="279" spans="2:57" s="30" customFormat="1" ht="15" x14ac:dyDescent="0.2">
      <c r="B279" s="44" t="s">
        <v>498</v>
      </c>
      <c r="C279" s="152"/>
      <c r="D279" s="81" t="s">
        <v>5</v>
      </c>
      <c r="G279" s="33"/>
      <c r="H279" s="81"/>
      <c r="I279" s="51"/>
      <c r="J279" s="51"/>
      <c r="K279" s="33"/>
      <c r="L279" s="33"/>
      <c r="M279" s="81"/>
      <c r="N279" s="81"/>
      <c r="O279" s="96"/>
      <c r="P279" s="51"/>
      <c r="Q279" s="50"/>
      <c r="R279" s="43"/>
      <c r="S279" s="35"/>
      <c r="T279" s="43"/>
      <c r="U279" s="43"/>
      <c r="V279" s="43"/>
      <c r="W279" s="43"/>
      <c r="X279" s="43"/>
      <c r="Y279" s="43"/>
      <c r="Z279" s="43"/>
      <c r="AA279" s="43"/>
      <c r="AB279" s="43"/>
      <c r="AC279" s="43"/>
      <c r="AD279" s="43"/>
      <c r="AE279" s="35"/>
      <c r="AF279" s="35"/>
      <c r="AG279" s="35"/>
      <c r="AH279" s="35"/>
      <c r="AI279" s="35"/>
      <c r="AJ279" s="35"/>
      <c r="AK279" s="104"/>
      <c r="AL279" s="35"/>
      <c r="AM279" s="35"/>
      <c r="AN279" s="36"/>
      <c r="AO279" s="36"/>
      <c r="AP279" s="36"/>
      <c r="AQ279" s="36"/>
      <c r="AR279" s="36"/>
      <c r="AS279" s="36"/>
      <c r="AT279" s="36"/>
      <c r="AU279" s="36"/>
      <c r="AV279" s="36"/>
      <c r="AW279" s="36"/>
      <c r="AX279" s="36"/>
      <c r="AY279" s="36"/>
      <c r="AZ279" s="36"/>
      <c r="BA279" s="36"/>
      <c r="BB279" s="36"/>
      <c r="BC279" s="36"/>
      <c r="BD279" s="36"/>
      <c r="BE279" s="36"/>
    </row>
    <row r="280" spans="2:57" s="30" customFormat="1" ht="15" x14ac:dyDescent="0.2">
      <c r="B280" s="151" t="s">
        <v>3</v>
      </c>
      <c r="C280" s="33"/>
      <c r="D280" s="81"/>
      <c r="E280" s="33"/>
      <c r="F280" s="33"/>
      <c r="G280" s="37"/>
      <c r="H280" s="81"/>
      <c r="J280" s="32"/>
      <c r="K280" s="37" t="s">
        <v>297</v>
      </c>
      <c r="L280" s="37" t="s">
        <v>185</v>
      </c>
      <c r="M280" s="81"/>
      <c r="N280" s="81"/>
      <c r="O280" s="96"/>
      <c r="P280" s="33"/>
      <c r="Q280" s="34"/>
      <c r="R280" s="43" t="s">
        <v>318</v>
      </c>
      <c r="S280" s="35"/>
      <c r="T280" s="43" t="s">
        <v>400</v>
      </c>
      <c r="U280" s="43" t="s">
        <v>399</v>
      </c>
      <c r="V280" s="43" t="s">
        <v>397</v>
      </c>
      <c r="W280" s="43" t="s">
        <v>398</v>
      </c>
      <c r="X280" s="43" t="s">
        <v>401</v>
      </c>
      <c r="Y280" s="43" t="s">
        <v>403</v>
      </c>
      <c r="Z280" s="43" t="s">
        <v>402</v>
      </c>
      <c r="AA280" s="43" t="s">
        <v>186</v>
      </c>
      <c r="AB280" s="43" t="s">
        <v>345</v>
      </c>
      <c r="AC280" s="43" t="s">
        <v>404</v>
      </c>
      <c r="AD280" s="43" t="s">
        <v>346</v>
      </c>
      <c r="AE280" s="43" t="s">
        <v>405</v>
      </c>
      <c r="AF280" s="43" t="s">
        <v>406</v>
      </c>
      <c r="AG280" s="43" t="s">
        <v>578</v>
      </c>
      <c r="AH280" s="35" t="s">
        <v>190</v>
      </c>
      <c r="AI280" s="35" t="s">
        <v>249</v>
      </c>
      <c r="AJ280" s="35" t="s">
        <v>191</v>
      </c>
      <c r="AK280" s="104"/>
      <c r="AL280" s="35"/>
      <c r="AM280" s="35"/>
      <c r="AN280" s="36"/>
      <c r="AO280" s="36"/>
      <c r="AP280" s="36"/>
      <c r="AQ280" s="36"/>
      <c r="AR280" s="36"/>
      <c r="AS280" s="36"/>
      <c r="AT280" s="36"/>
      <c r="AU280" s="36"/>
      <c r="AV280" s="36"/>
      <c r="AW280" s="36"/>
      <c r="AX280" s="36"/>
      <c r="AY280" s="36"/>
      <c r="AZ280" s="36"/>
      <c r="BA280" s="36"/>
      <c r="BB280" s="36"/>
      <c r="BC280" s="36"/>
      <c r="BD280" s="36"/>
      <c r="BE280" s="36"/>
    </row>
    <row r="281" spans="2:57" s="30" customFormat="1" ht="30" x14ac:dyDescent="0.2">
      <c r="B281" s="166" t="s">
        <v>501</v>
      </c>
      <c r="C281" s="152"/>
      <c r="D281" s="86" t="s">
        <v>52</v>
      </c>
      <c r="E281" s="57"/>
      <c r="F281" s="55"/>
      <c r="G281" s="157"/>
      <c r="H281" s="81" t="str">
        <f>IF(D281="t","","t/m3")</f>
        <v/>
      </c>
      <c r="J281" s="169" t="s">
        <v>395</v>
      </c>
      <c r="K281" s="92" t="str">
        <f>IFERROR(IF(ISNUMBER(L281),L281,(VLOOKUP(C282,Kalusto!$C$45:$G$84,5,FALSE)*VLOOKUP(C283,Muut!$D$40:$E$43,2,FALSE))),"--")</f>
        <v>--</v>
      </c>
      <c r="L281" s="39"/>
      <c r="M281" s="40" t="s">
        <v>184</v>
      </c>
      <c r="N281" s="40"/>
      <c r="O281" s="259"/>
      <c r="Q281" s="45"/>
      <c r="R281" s="213" t="str">
        <f>IF(AND(NOT(ISNUMBER(AB281)),NOT(ISNUMBER(AG281))),"",IF(ISNUMBER(AB281),AB281,0)+IF(ISNUMBER(AG281),AG281,0))</f>
        <v/>
      </c>
      <c r="S281" s="98" t="s">
        <v>160</v>
      </c>
      <c r="T281" s="211" t="str">
        <f>IFERROR(IF(ISNUMBER(L281),"Kohdetieto",VLOOKUP(C282,Kalusto!$C$45:$L$84,7,FALSE)),"--")</f>
        <v>--</v>
      </c>
      <c r="U281" s="211" t="str">
        <f>IFERROR(IF(ISNUMBER(L281),"Kohdetieto",VLOOKUP(C282,Kalusto!$C$45:$L$84,8,FALSE)),"--")</f>
        <v>--</v>
      </c>
      <c r="V281" s="212" t="str">
        <f>IFERROR(IF(ISNUMBER(L281),"Kohdetieto",VLOOKUP(C282,Kalusto!$C$45:$L$84,9,FALSE)),"--")</f>
        <v>--</v>
      </c>
      <c r="W281" s="212" t="str">
        <f>IFERROR(IF(ISNUMBER(L281),"Kohdetieto",VLOOKUP(C282,Kalusto!$C$45:$L$84,10,FALSE)),"--")</f>
        <v>--</v>
      </c>
      <c r="X281" s="213" t="str">
        <f>IF(ISBLANK(C281),"",IF(D281="t",C281,C281*G281))</f>
        <v/>
      </c>
      <c r="Y281" s="211" t="str">
        <f>IF(ISNUMBER(C284),C284,"")</f>
        <v/>
      </c>
      <c r="Z281" s="213" t="str">
        <f>IF(ISNUMBER(X281/(U281*V281)*Y281),X281/(U281*V281)*Y281,"")</f>
        <v/>
      </c>
      <c r="AA281" s="214" t="str">
        <f>IF(ISNUMBER(L281),L281,K281)</f>
        <v>--</v>
      </c>
      <c r="AB281" s="213" t="str">
        <f>IF(ISNUMBER(Y281*X281*K281),Y281*X281*K281,"")</f>
        <v/>
      </c>
      <c r="AC281" s="213" t="str">
        <f>IF(ISNUMBER(Y281),Y281,"")</f>
        <v/>
      </c>
      <c r="AD281" s="213" t="str">
        <f>IF(ISNUMBER(X281),IF(ISNUMBER(X281/(U281*V281)),CEILING(X281/(U281*V281),1),""),"")</f>
        <v/>
      </c>
      <c r="AE281" s="48" t="str">
        <f>IF(ISNUMBER(AD281*AC281),AD281*AC281,"")</f>
        <v/>
      </c>
      <c r="AF281" s="49" t="str">
        <f>IF(ISNUMBER(L282),L282,K282)</f>
        <v>--</v>
      </c>
      <c r="AG281" s="48" t="str">
        <f>IF(ISNUMBER(AC281*AD281*K282),AC281*AD281*K282,"")</f>
        <v/>
      </c>
      <c r="AH281" s="46">
        <f>IF(T281="Jakelukuorma-auto",0,IF(T281="Maansiirtoauto",4,IF(T281="Puoliperävaunu",6,8)))</f>
        <v>8</v>
      </c>
      <c r="AI281" s="46">
        <f>IF(AND(T281="Jakelukuorma-auto",U281=6),0,IF(AND(T281="Jakelukuorma-auto",U281=15),2,0))</f>
        <v>0</v>
      </c>
      <c r="AJ281" s="46">
        <f>IF(W281="maantieajo",0,1)</f>
        <v>1</v>
      </c>
      <c r="AK281" s="104"/>
      <c r="AL281" s="35"/>
      <c r="AM281" s="35"/>
      <c r="AN281" s="36"/>
      <c r="AO281" s="36"/>
      <c r="AP281" s="36"/>
      <c r="AQ281" s="36"/>
      <c r="AR281" s="36"/>
      <c r="AS281" s="36"/>
      <c r="AT281" s="36"/>
      <c r="AU281" s="36"/>
      <c r="AV281" s="36"/>
      <c r="AW281" s="36"/>
      <c r="AX281" s="36"/>
      <c r="AY281" s="36"/>
      <c r="AZ281" s="36"/>
      <c r="BA281" s="36"/>
      <c r="BB281" s="36"/>
      <c r="BC281" s="36"/>
      <c r="BD281" s="36"/>
      <c r="BE281" s="36"/>
    </row>
    <row r="282" spans="2:57" s="30" customFormat="1" ht="30" x14ac:dyDescent="0.2">
      <c r="B282" s="166" t="s">
        <v>499</v>
      </c>
      <c r="C282" s="471" t="s">
        <v>298</v>
      </c>
      <c r="D282" s="472"/>
      <c r="E282" s="472"/>
      <c r="F282" s="472"/>
      <c r="G282" s="473"/>
      <c r="J282" s="32" t="s">
        <v>396</v>
      </c>
      <c r="K282" s="92" t="str">
        <f>IFERROR(IF(ISNUMBER(L282),L282,(VLOOKUP(C282,Kalusto!$C$45:$V$84,19,FALSE)*(VLOOKUP(C283,Muut!$D$40:$E$43,2,FALSE)))),"--")</f>
        <v>--</v>
      </c>
      <c r="L282" s="39"/>
      <c r="M282" s="40" t="s">
        <v>188</v>
      </c>
      <c r="N282" s="40"/>
      <c r="O282" s="259"/>
      <c r="P282" s="33"/>
      <c r="Q282" s="50"/>
      <c r="R282" s="43"/>
      <c r="S282" s="35"/>
      <c r="T282" s="43"/>
      <c r="U282" s="43"/>
      <c r="V282" s="43"/>
      <c r="W282" s="43"/>
      <c r="X282" s="43"/>
      <c r="Y282" s="43"/>
      <c r="Z282" s="43"/>
      <c r="AA282" s="43"/>
      <c r="AB282" s="43"/>
      <c r="AC282" s="43"/>
      <c r="AD282" s="43"/>
      <c r="AE282" s="35"/>
      <c r="AF282" s="35"/>
      <c r="AG282" s="35"/>
      <c r="AH282" s="35"/>
      <c r="AI282" s="35"/>
      <c r="AJ282" s="35"/>
      <c r="AK282" s="104"/>
      <c r="AL282" s="35"/>
      <c r="AM282" s="35"/>
      <c r="AN282" s="36"/>
      <c r="AO282" s="36"/>
      <c r="AP282" s="36"/>
      <c r="AQ282" s="36"/>
      <c r="AR282" s="36"/>
      <c r="AS282" s="36"/>
      <c r="AT282" s="36"/>
      <c r="AU282" s="36"/>
      <c r="AV282" s="36"/>
      <c r="AW282" s="36"/>
      <c r="AX282" s="36"/>
      <c r="AY282" s="36"/>
      <c r="AZ282" s="36"/>
      <c r="BA282" s="36"/>
      <c r="BB282" s="36"/>
      <c r="BC282" s="36"/>
      <c r="BD282" s="36"/>
      <c r="BE282" s="36"/>
    </row>
    <row r="283" spans="2:57" s="30" customFormat="1" ht="15" x14ac:dyDescent="0.2">
      <c r="B283" s="182" t="s">
        <v>457</v>
      </c>
      <c r="C283" s="156" t="s">
        <v>309</v>
      </c>
      <c r="D283" s="33"/>
      <c r="E283" s="33"/>
      <c r="F283" s="33"/>
      <c r="G283" s="33"/>
      <c r="H283" s="57"/>
      <c r="J283" s="169"/>
      <c r="K283" s="169"/>
      <c r="L283" s="169"/>
      <c r="M283" s="40"/>
      <c r="N283" s="40"/>
      <c r="O283" s="259"/>
      <c r="Q283" s="45"/>
      <c r="R283" s="226"/>
      <c r="S283" s="98"/>
      <c r="T283" s="43"/>
      <c r="U283" s="43"/>
      <c r="V283" s="215"/>
      <c r="W283" s="215"/>
      <c r="X283" s="216"/>
      <c r="Y283" s="43"/>
      <c r="Z283" s="216"/>
      <c r="AA283" s="217"/>
      <c r="AB283" s="216"/>
      <c r="AC283" s="216"/>
      <c r="AD283" s="216"/>
      <c r="AE283" s="59"/>
      <c r="AF283" s="178"/>
      <c r="AG283" s="59"/>
      <c r="AH283" s="35"/>
      <c r="AI283" s="35"/>
      <c r="AJ283" s="35"/>
      <c r="AK283" s="104"/>
      <c r="AL283" s="35"/>
      <c r="AM283" s="35"/>
      <c r="AN283" s="36"/>
      <c r="AO283" s="36"/>
      <c r="AP283" s="36"/>
      <c r="AQ283" s="36"/>
      <c r="AR283" s="36"/>
      <c r="AS283" s="36"/>
      <c r="AT283" s="36"/>
      <c r="AU283" s="36"/>
      <c r="AV283" s="36"/>
      <c r="AW283" s="36"/>
      <c r="AX283" s="36"/>
      <c r="AY283" s="36"/>
      <c r="AZ283" s="36"/>
      <c r="BA283" s="36"/>
      <c r="BB283" s="36"/>
      <c r="BC283" s="36"/>
      <c r="BD283" s="36"/>
      <c r="BE283" s="36"/>
    </row>
    <row r="284" spans="2:57" s="30" customFormat="1" ht="15" x14ac:dyDescent="0.2">
      <c r="B284" s="44" t="s">
        <v>498</v>
      </c>
      <c r="C284" s="152"/>
      <c r="D284" s="81" t="s">
        <v>164</v>
      </c>
      <c r="G284" s="33"/>
      <c r="H284" s="81"/>
      <c r="I284" s="51"/>
      <c r="J284" s="51"/>
      <c r="K284" s="33"/>
      <c r="L284" s="33"/>
      <c r="M284" s="81"/>
      <c r="N284" s="81"/>
      <c r="O284" s="96"/>
      <c r="P284" s="51"/>
      <c r="Q284" s="50"/>
      <c r="R284" s="43"/>
      <c r="S284" s="35"/>
      <c r="T284" s="43"/>
      <c r="U284" s="43"/>
      <c r="V284" s="43"/>
      <c r="W284" s="43"/>
      <c r="X284" s="43"/>
      <c r="Y284" s="43"/>
      <c r="Z284" s="43"/>
      <c r="AA284" s="43"/>
      <c r="AB284" s="43"/>
      <c r="AC284" s="43"/>
      <c r="AD284" s="43"/>
      <c r="AE284" s="35"/>
      <c r="AF284" s="35"/>
      <c r="AG284" s="35"/>
      <c r="AH284" s="35"/>
      <c r="AI284" s="35"/>
      <c r="AJ284" s="35"/>
      <c r="AK284" s="104"/>
      <c r="AL284" s="35"/>
      <c r="AM284" s="35"/>
      <c r="AN284" s="36"/>
      <c r="AO284" s="36"/>
      <c r="AP284" s="36"/>
      <c r="AQ284" s="36"/>
      <c r="AR284" s="36"/>
      <c r="AS284" s="36"/>
      <c r="AT284" s="36"/>
      <c r="AU284" s="36"/>
      <c r="AV284" s="36"/>
      <c r="AW284" s="36"/>
      <c r="AX284" s="36"/>
      <c r="AY284" s="36"/>
      <c r="AZ284" s="36"/>
      <c r="BA284" s="36"/>
      <c r="BB284" s="36"/>
      <c r="BC284" s="36"/>
      <c r="BD284" s="36"/>
      <c r="BE284" s="36"/>
    </row>
    <row r="285" spans="2:57" s="30" customFormat="1" ht="15" x14ac:dyDescent="0.2">
      <c r="B285" s="151" t="s">
        <v>4</v>
      </c>
      <c r="C285" s="33"/>
      <c r="D285" s="81"/>
      <c r="G285" s="33"/>
      <c r="H285" s="81"/>
      <c r="J285" s="32"/>
      <c r="K285" s="37" t="s">
        <v>297</v>
      </c>
      <c r="L285" s="37" t="s">
        <v>185</v>
      </c>
      <c r="M285" s="81"/>
      <c r="N285" s="81"/>
      <c r="O285" s="96"/>
      <c r="P285" s="33"/>
      <c r="Q285" s="34"/>
      <c r="R285" s="43" t="s">
        <v>318</v>
      </c>
      <c r="S285" s="35"/>
      <c r="T285" s="43" t="s">
        <v>400</v>
      </c>
      <c r="U285" s="43" t="s">
        <v>399</v>
      </c>
      <c r="V285" s="43" t="s">
        <v>397</v>
      </c>
      <c r="W285" s="43" t="s">
        <v>398</v>
      </c>
      <c r="X285" s="43" t="s">
        <v>401</v>
      </c>
      <c r="Y285" s="43" t="s">
        <v>403</v>
      </c>
      <c r="Z285" s="43" t="s">
        <v>402</v>
      </c>
      <c r="AA285" s="43" t="s">
        <v>186</v>
      </c>
      <c r="AB285" s="43" t="s">
        <v>345</v>
      </c>
      <c r="AC285" s="43" t="s">
        <v>404</v>
      </c>
      <c r="AD285" s="43" t="s">
        <v>346</v>
      </c>
      <c r="AE285" s="43" t="s">
        <v>405</v>
      </c>
      <c r="AF285" s="43" t="s">
        <v>406</v>
      </c>
      <c r="AG285" s="43" t="s">
        <v>578</v>
      </c>
      <c r="AH285" s="35" t="s">
        <v>190</v>
      </c>
      <c r="AI285" s="35" t="s">
        <v>249</v>
      </c>
      <c r="AJ285" s="35" t="s">
        <v>191</v>
      </c>
      <c r="AK285" s="104"/>
      <c r="AL285" s="35"/>
      <c r="AM285" s="35"/>
      <c r="AN285" s="36"/>
      <c r="AO285" s="36"/>
      <c r="AP285" s="36"/>
      <c r="AQ285" s="36"/>
      <c r="AR285" s="36"/>
      <c r="AS285" s="36"/>
      <c r="AT285" s="36"/>
      <c r="AU285" s="36"/>
      <c r="AV285" s="36"/>
      <c r="AW285" s="36"/>
      <c r="AX285" s="36"/>
      <c r="AY285" s="36"/>
      <c r="AZ285" s="36"/>
      <c r="BA285" s="36"/>
      <c r="BB285" s="36"/>
      <c r="BC285" s="36"/>
      <c r="BD285" s="36"/>
      <c r="BE285" s="36"/>
    </row>
    <row r="286" spans="2:57" s="30" customFormat="1" ht="30" x14ac:dyDescent="0.2">
      <c r="B286" s="166" t="s">
        <v>501</v>
      </c>
      <c r="C286" s="385"/>
      <c r="D286" s="86" t="s">
        <v>52</v>
      </c>
      <c r="E286" s="57"/>
      <c r="F286" s="55"/>
      <c r="G286" s="157"/>
      <c r="H286" s="81" t="str">
        <f>IF(D286="t","","t/m3")</f>
        <v/>
      </c>
      <c r="J286" s="169" t="s">
        <v>395</v>
      </c>
      <c r="K286" s="92" t="str">
        <f>IFERROR(IF(ISNUMBER(L286),L286,(VLOOKUP(C287,Kalusto!$C$45:$G$84,5,FALSE)*VLOOKUP(C288,Muut!$D$40:$E$43,2,FALSE))),"--")</f>
        <v>--</v>
      </c>
      <c r="L286" s="39"/>
      <c r="M286" s="40" t="s">
        <v>184</v>
      </c>
      <c r="N286" s="40"/>
      <c r="O286" s="259"/>
      <c r="Q286" s="45"/>
      <c r="R286" s="213" t="str">
        <f>IF(AND(NOT(ISNUMBER(AB286)),NOT(ISNUMBER(AG286))),"",IF(ISNUMBER(AB286),AB286,0)+IF(ISNUMBER(AG286),AG286,0))</f>
        <v/>
      </c>
      <c r="S286" s="98" t="s">
        <v>160</v>
      </c>
      <c r="T286" s="211" t="str">
        <f>IFERROR(IF(ISNUMBER(L286),"Kohdetieto",VLOOKUP(C287,Kalusto!$C$45:$L$84,7,FALSE)),"--")</f>
        <v>--</v>
      </c>
      <c r="U286" s="211" t="str">
        <f>IFERROR(IF(ISNUMBER(L286),"Kohdetieto",VLOOKUP(C287,Kalusto!$C$45:$L$84,8,FALSE)),"--")</f>
        <v>--</v>
      </c>
      <c r="V286" s="212" t="str">
        <f>IFERROR(IF(ISNUMBER(L286),"Kohdetieto",VLOOKUP(C287,Kalusto!$C$45:$L$84,9,FALSE)),"--")</f>
        <v>--</v>
      </c>
      <c r="W286" s="212" t="str">
        <f>IFERROR(IF(ISNUMBER(L286),"Kohdetieto",VLOOKUP(C287,Kalusto!$C$45:$L$84,10,FALSE)),"--")</f>
        <v>--</v>
      </c>
      <c r="X286" s="213" t="str">
        <f>IF(ISBLANK(C286),"",IF(D286="t",C286,C286*G286))</f>
        <v/>
      </c>
      <c r="Y286" s="211" t="str">
        <f>IF(ISNUMBER(C289),C289,"")</f>
        <v/>
      </c>
      <c r="Z286" s="213" t="str">
        <f>IF(ISNUMBER(X286/(U286*V286)*Y286),X286/(U286*V286)*Y286,"")</f>
        <v/>
      </c>
      <c r="AA286" s="214" t="str">
        <f>IF(ISNUMBER(L286),L286,K286)</f>
        <v>--</v>
      </c>
      <c r="AB286" s="213" t="str">
        <f>IF(ISNUMBER(Y286*X286*K286),Y286*X286*K286,"")</f>
        <v/>
      </c>
      <c r="AC286" s="213" t="str">
        <f>IF(ISNUMBER(Y286),Y286,"")</f>
        <v/>
      </c>
      <c r="AD286" s="213" t="str">
        <f>IF(ISNUMBER(X286),IF(ISNUMBER(X286/(U286*V286)),CEILING(X286/(U286*V286),1),""),"")</f>
        <v/>
      </c>
      <c r="AE286" s="48" t="str">
        <f>IF(ISNUMBER(AD286*AC286),AD286*AC286,"")</f>
        <v/>
      </c>
      <c r="AF286" s="49" t="str">
        <f>IF(ISNUMBER(L287),L287,K287)</f>
        <v>--</v>
      </c>
      <c r="AG286" s="48" t="str">
        <f>IF(ISNUMBER(AC286*AD286*K287),AC286*AD286*K287,"")</f>
        <v/>
      </c>
      <c r="AH286" s="46">
        <f>IF(T286="Jakelukuorma-auto",0,IF(T286="Maansiirtoauto",4,IF(T286="Puoliperävaunu",6,8)))</f>
        <v>8</v>
      </c>
      <c r="AI286" s="46">
        <f>IF(AND(T286="Jakelukuorma-auto",U286=6),0,IF(AND(T286="Jakelukuorma-auto",U286=15),2,0))</f>
        <v>0</v>
      </c>
      <c r="AJ286" s="46">
        <f>IF(W286="maantieajo",0,1)</f>
        <v>1</v>
      </c>
      <c r="AK286" s="104"/>
      <c r="AL286" s="35"/>
      <c r="AM286" s="35"/>
      <c r="AN286" s="36"/>
      <c r="AO286" s="36"/>
      <c r="AP286" s="36"/>
      <c r="AQ286" s="36"/>
      <c r="AR286" s="36"/>
      <c r="AS286" s="36"/>
      <c r="AT286" s="36"/>
      <c r="AU286" s="36"/>
      <c r="AV286" s="36"/>
      <c r="AW286" s="36"/>
      <c r="AX286" s="36"/>
      <c r="AY286" s="36"/>
      <c r="AZ286" s="36"/>
      <c r="BA286" s="36"/>
      <c r="BB286" s="36"/>
      <c r="BC286" s="36"/>
      <c r="BD286" s="36"/>
      <c r="BE286" s="36"/>
    </row>
    <row r="287" spans="2:57" s="30" customFormat="1" ht="30" x14ac:dyDescent="0.2">
      <c r="B287" s="166" t="s">
        <v>499</v>
      </c>
      <c r="C287" s="471" t="s">
        <v>298</v>
      </c>
      <c r="D287" s="472"/>
      <c r="E287" s="472"/>
      <c r="F287" s="472"/>
      <c r="G287" s="473"/>
      <c r="I287" s="57"/>
      <c r="J287" s="32" t="s">
        <v>396</v>
      </c>
      <c r="K287" s="92" t="str">
        <f>IFERROR(IF(ISNUMBER(L287),L287,(VLOOKUP(C287,Kalusto!$C$45:$V$84,19,FALSE)*(VLOOKUP(C288,Muut!$D$40:$E$43,2,FALSE)))),"--")</f>
        <v>--</v>
      </c>
      <c r="L287" s="39"/>
      <c r="M287" s="40" t="s">
        <v>188</v>
      </c>
      <c r="N287" s="40"/>
      <c r="O287" s="259"/>
      <c r="P287" s="33"/>
      <c r="Q287" s="50"/>
      <c r="R287" s="102"/>
      <c r="S287" s="35"/>
      <c r="T287" s="43"/>
      <c r="U287" s="43"/>
      <c r="V287" s="43"/>
      <c r="W287" s="43"/>
      <c r="X287" s="43"/>
      <c r="Y287" s="43"/>
      <c r="Z287" s="43"/>
      <c r="AA287" s="43"/>
      <c r="AB287" s="43"/>
      <c r="AC287" s="43"/>
      <c r="AD287" s="43"/>
      <c r="AE287" s="35"/>
      <c r="AF287" s="35"/>
      <c r="AG287" s="35"/>
      <c r="AH287" s="35"/>
      <c r="AI287" s="35"/>
      <c r="AJ287" s="35"/>
      <c r="AK287" s="35"/>
      <c r="AL287" s="35"/>
      <c r="AM287" s="35"/>
      <c r="AN287" s="36"/>
      <c r="AO287" s="36"/>
      <c r="AP287" s="36"/>
      <c r="AQ287" s="36"/>
      <c r="AR287" s="36"/>
      <c r="AS287" s="36"/>
      <c r="AT287" s="36"/>
      <c r="AU287" s="36"/>
      <c r="AV287" s="36"/>
      <c r="AW287" s="36"/>
      <c r="AX287" s="36"/>
      <c r="AY287" s="36"/>
      <c r="AZ287" s="36"/>
      <c r="BA287" s="36"/>
      <c r="BB287" s="36"/>
      <c r="BC287" s="36"/>
      <c r="BD287" s="36"/>
      <c r="BE287" s="36"/>
    </row>
    <row r="288" spans="2:57" s="30" customFormat="1" ht="15" x14ac:dyDescent="0.2">
      <c r="B288" s="182" t="s">
        <v>457</v>
      </c>
      <c r="C288" s="156" t="s">
        <v>309</v>
      </c>
      <c r="D288" s="33"/>
      <c r="E288" s="33"/>
      <c r="F288" s="33"/>
      <c r="G288" s="33"/>
      <c r="H288" s="57"/>
      <c r="J288" s="169"/>
      <c r="K288" s="169"/>
      <c r="L288" s="169"/>
      <c r="M288" s="40"/>
      <c r="N288" s="40"/>
      <c r="O288" s="259"/>
      <c r="Q288" s="45"/>
      <c r="R288" s="226"/>
      <c r="S288" s="98"/>
      <c r="T288" s="43"/>
      <c r="U288" s="43"/>
      <c r="V288" s="215"/>
      <c r="W288" s="215"/>
      <c r="X288" s="216"/>
      <c r="Y288" s="43"/>
      <c r="Z288" s="216"/>
      <c r="AA288" s="217"/>
      <c r="AB288" s="216"/>
      <c r="AC288" s="216"/>
      <c r="AD288" s="216"/>
      <c r="AE288" s="59"/>
      <c r="AF288" s="178"/>
      <c r="AG288" s="59"/>
      <c r="AH288" s="35"/>
      <c r="AI288" s="35"/>
      <c r="AJ288" s="35"/>
      <c r="AK288" s="104"/>
      <c r="AL288" s="35"/>
      <c r="AM288" s="35"/>
      <c r="AN288" s="36"/>
      <c r="AO288" s="36"/>
      <c r="AP288" s="36"/>
      <c r="AQ288" s="36"/>
      <c r="AR288" s="36"/>
      <c r="AS288" s="36"/>
      <c r="AT288" s="36"/>
      <c r="AU288" s="36"/>
      <c r="AV288" s="36"/>
      <c r="AW288" s="36"/>
      <c r="AX288" s="36"/>
      <c r="AY288" s="36"/>
      <c r="AZ288" s="36"/>
      <c r="BA288" s="36"/>
      <c r="BB288" s="36"/>
      <c r="BC288" s="36"/>
      <c r="BD288" s="36"/>
      <c r="BE288" s="36"/>
    </row>
    <row r="289" spans="2:57" s="30" customFormat="1" ht="15" x14ac:dyDescent="0.2">
      <c r="B289" s="44" t="s">
        <v>498</v>
      </c>
      <c r="C289" s="386"/>
      <c r="D289" s="81" t="s">
        <v>5</v>
      </c>
      <c r="G289" s="33"/>
      <c r="H289" s="81"/>
      <c r="I289" s="51"/>
      <c r="J289" s="51"/>
      <c r="K289" s="33"/>
      <c r="L289" s="33"/>
      <c r="M289" s="81"/>
      <c r="N289" s="81"/>
      <c r="O289" s="96"/>
      <c r="P289" s="51"/>
      <c r="Q289" s="50"/>
      <c r="R289" s="102"/>
      <c r="S289" s="35"/>
      <c r="T289" s="43"/>
      <c r="U289" s="43"/>
      <c r="V289" s="43"/>
      <c r="W289" s="43"/>
      <c r="X289" s="43"/>
      <c r="Y289" s="43"/>
      <c r="Z289" s="43"/>
      <c r="AA289" s="43"/>
      <c r="AB289" s="43"/>
      <c r="AC289" s="43"/>
      <c r="AD289" s="43"/>
      <c r="AE289" s="35"/>
      <c r="AF289" s="35"/>
      <c r="AG289" s="35"/>
      <c r="AH289" s="35"/>
      <c r="AI289" s="35"/>
      <c r="AJ289" s="35"/>
      <c r="AK289" s="35"/>
      <c r="AL289" s="35"/>
      <c r="AM289" s="35"/>
      <c r="AN289" s="36"/>
      <c r="AO289" s="36"/>
      <c r="AP289" s="36"/>
      <c r="AQ289" s="36"/>
      <c r="AR289" s="36"/>
      <c r="AS289" s="36"/>
      <c r="AT289" s="36"/>
      <c r="AU289" s="36"/>
      <c r="AV289" s="36"/>
      <c r="AW289" s="36"/>
      <c r="AX289" s="36"/>
      <c r="AY289" s="36"/>
      <c r="AZ289" s="36"/>
      <c r="BA289" s="36"/>
      <c r="BB289" s="36"/>
      <c r="BC289" s="36"/>
      <c r="BD289" s="36"/>
      <c r="BE289" s="36"/>
    </row>
    <row r="290" spans="2:57" s="30" customFormat="1" ht="15" x14ac:dyDescent="0.2">
      <c r="B290" s="52"/>
      <c r="C290" s="33"/>
      <c r="D290" s="57"/>
      <c r="E290" s="56"/>
      <c r="F290" s="56"/>
      <c r="G290" s="33"/>
      <c r="H290" s="81"/>
      <c r="J290" s="32"/>
      <c r="K290" s="33"/>
      <c r="L290" s="33"/>
      <c r="M290" s="81"/>
      <c r="N290" s="81"/>
      <c r="O290" s="96"/>
      <c r="Q290" s="34"/>
      <c r="R290" s="102"/>
      <c r="S290" s="35"/>
      <c r="T290" s="43"/>
      <c r="U290" s="43"/>
      <c r="V290" s="43"/>
      <c r="W290" s="43"/>
      <c r="X290" s="43"/>
      <c r="Y290" s="43"/>
      <c r="Z290" s="43"/>
      <c r="AA290" s="43"/>
      <c r="AB290" s="43"/>
      <c r="AC290" s="43"/>
      <c r="AD290" s="43"/>
      <c r="AE290" s="35"/>
      <c r="AF290" s="35"/>
      <c r="AG290" s="35"/>
      <c r="AH290" s="35"/>
      <c r="AI290" s="35"/>
      <c r="AJ290" s="35"/>
      <c r="AK290" s="35"/>
      <c r="AL290" s="35"/>
      <c r="AM290" s="35"/>
      <c r="AN290" s="36"/>
      <c r="AO290" s="36"/>
      <c r="AP290" s="36"/>
      <c r="AQ290" s="36"/>
      <c r="AR290" s="36"/>
      <c r="AS290" s="36"/>
      <c r="AT290" s="36"/>
      <c r="AU290" s="36"/>
      <c r="AV290" s="36"/>
      <c r="AW290" s="36"/>
      <c r="AX290" s="36"/>
      <c r="AY290" s="36"/>
      <c r="AZ290" s="36"/>
      <c r="BA290" s="36"/>
      <c r="BB290" s="36"/>
      <c r="BC290" s="36"/>
      <c r="BD290" s="36"/>
      <c r="BE290" s="36"/>
    </row>
    <row r="291" spans="2:57" s="30" customFormat="1" ht="15" x14ac:dyDescent="0.2">
      <c r="B291" s="173" t="s">
        <v>502</v>
      </c>
      <c r="C291" s="33"/>
      <c r="D291" s="57"/>
      <c r="E291" s="56"/>
      <c r="F291" s="56"/>
      <c r="G291" s="33"/>
      <c r="H291" s="81"/>
      <c r="J291" s="32"/>
      <c r="K291" s="33"/>
      <c r="L291" s="33"/>
      <c r="M291" s="81"/>
      <c r="N291" s="81"/>
      <c r="O291" s="96"/>
      <c r="Q291" s="34"/>
      <c r="R291" s="102"/>
      <c r="S291" s="35"/>
      <c r="T291" s="43"/>
      <c r="U291" s="43"/>
      <c r="V291" s="43"/>
      <c r="W291" s="43"/>
      <c r="X291" s="43"/>
      <c r="Y291" s="43"/>
      <c r="Z291" s="43"/>
      <c r="AA291" s="43"/>
      <c r="AB291" s="43"/>
      <c r="AC291" s="43"/>
      <c r="AD291" s="43"/>
      <c r="AE291" s="35"/>
      <c r="AF291" s="35"/>
      <c r="AG291" s="35"/>
      <c r="AH291" s="35"/>
      <c r="AI291" s="35"/>
      <c r="AJ291" s="35"/>
      <c r="AK291" s="35"/>
      <c r="AL291" s="35"/>
      <c r="AM291" s="35"/>
      <c r="AN291" s="36"/>
      <c r="AO291" s="36"/>
      <c r="AP291" s="36"/>
      <c r="AQ291" s="36"/>
      <c r="AR291" s="36"/>
      <c r="AS291" s="36"/>
      <c r="AT291" s="36"/>
      <c r="AU291" s="36"/>
      <c r="AV291" s="36"/>
      <c r="AW291" s="36"/>
      <c r="AX291" s="36"/>
      <c r="AY291" s="36"/>
      <c r="AZ291" s="36"/>
      <c r="BA291" s="36"/>
      <c r="BB291" s="36"/>
      <c r="BC291" s="36"/>
      <c r="BD291" s="36"/>
      <c r="BE291" s="36"/>
    </row>
    <row r="292" spans="2:57" s="30" customFormat="1" ht="15" x14ac:dyDescent="0.2">
      <c r="B292" s="52"/>
      <c r="C292" s="33"/>
      <c r="D292" s="57"/>
      <c r="E292" s="56"/>
      <c r="F292" s="56"/>
      <c r="G292" s="33"/>
      <c r="H292" s="81"/>
      <c r="J292" s="32"/>
      <c r="K292" s="33"/>
      <c r="L292" s="33"/>
      <c r="M292" s="81"/>
      <c r="N292" s="81"/>
      <c r="O292" s="81"/>
      <c r="Q292" s="34"/>
      <c r="R292" s="102"/>
      <c r="S292" s="35"/>
      <c r="T292" s="43"/>
      <c r="U292" s="43"/>
      <c r="V292" s="43"/>
      <c r="W292" s="43"/>
      <c r="X292" s="43"/>
      <c r="Y292" s="43"/>
      <c r="Z292" s="43"/>
      <c r="AA292" s="43"/>
      <c r="AB292" s="43"/>
      <c r="AC292" s="43"/>
      <c r="AD292" s="43"/>
      <c r="AE292" s="35"/>
      <c r="AF292" s="35"/>
      <c r="AG292" s="35"/>
      <c r="AH292" s="35"/>
      <c r="AI292" s="35"/>
      <c r="AJ292" s="35"/>
      <c r="AK292" s="35"/>
      <c r="AL292" s="35"/>
      <c r="AM292" s="35"/>
      <c r="AN292" s="36"/>
      <c r="AO292" s="36"/>
      <c r="AP292" s="36"/>
      <c r="AQ292" s="36"/>
      <c r="AR292" s="36"/>
      <c r="AS292" s="36"/>
      <c r="AT292" s="36"/>
      <c r="AU292" s="36"/>
      <c r="AV292" s="36"/>
      <c r="AW292" s="36"/>
      <c r="AX292" s="36"/>
      <c r="AY292" s="36"/>
      <c r="AZ292" s="36"/>
      <c r="BA292" s="36"/>
      <c r="BB292" s="36"/>
      <c r="BC292" s="36"/>
      <c r="BD292" s="36"/>
      <c r="BE292" s="36"/>
    </row>
    <row r="293" spans="2:57" s="289" customFormat="1" ht="18" x14ac:dyDescent="0.2">
      <c r="B293" s="286" t="s">
        <v>41</v>
      </c>
      <c r="C293" s="287"/>
      <c r="D293" s="288"/>
      <c r="G293" s="287"/>
      <c r="H293" s="288"/>
      <c r="K293" s="287"/>
      <c r="L293" s="287"/>
      <c r="M293" s="288"/>
      <c r="N293" s="288"/>
      <c r="O293" s="291"/>
      <c r="P293" s="311"/>
      <c r="Q293" s="295"/>
      <c r="S293" s="294"/>
      <c r="T293" s="294"/>
      <c r="U293" s="294"/>
      <c r="V293" s="294"/>
      <c r="W293" s="294"/>
      <c r="X293" s="294"/>
      <c r="Y293" s="294"/>
      <c r="Z293" s="294"/>
      <c r="AA293" s="294"/>
      <c r="AB293" s="294"/>
      <c r="AC293" s="294"/>
      <c r="AD293" s="294"/>
      <c r="AE293" s="294"/>
      <c r="AF293" s="294"/>
      <c r="AG293" s="294"/>
      <c r="AH293" s="294"/>
      <c r="AI293" s="294"/>
      <c r="AJ293" s="294"/>
      <c r="AK293" s="294"/>
      <c r="AL293" s="294"/>
      <c r="AM293" s="294"/>
      <c r="AN293" s="295"/>
      <c r="AO293" s="295"/>
      <c r="AP293" s="295"/>
      <c r="AQ293" s="295"/>
      <c r="AR293" s="295"/>
      <c r="AS293" s="295"/>
      <c r="AT293" s="295"/>
      <c r="AU293" s="295"/>
      <c r="AV293" s="295"/>
      <c r="AW293" s="295"/>
      <c r="AX293" s="295"/>
      <c r="AY293" s="295"/>
      <c r="AZ293" s="295"/>
      <c r="BA293" s="295"/>
      <c r="BB293" s="295"/>
      <c r="BC293" s="295"/>
      <c r="BD293" s="295"/>
      <c r="BE293" s="295"/>
    </row>
    <row r="294" spans="2:57" s="30" customFormat="1" ht="15.75" x14ac:dyDescent="0.2">
      <c r="B294" s="8"/>
      <c r="C294" s="33"/>
      <c r="D294" s="81"/>
      <c r="G294" s="33"/>
      <c r="H294" s="81"/>
      <c r="J294" s="32"/>
      <c r="K294" s="33"/>
      <c r="L294" s="33"/>
      <c r="M294" s="81"/>
      <c r="N294" s="81"/>
      <c r="O294" s="81"/>
      <c r="Q294" s="34"/>
      <c r="R294" s="102"/>
      <c r="S294" s="35"/>
      <c r="T294" s="43"/>
      <c r="U294" s="43"/>
      <c r="V294" s="43"/>
      <c r="W294" s="43"/>
      <c r="X294" s="43"/>
      <c r="Y294" s="43"/>
      <c r="Z294" s="43"/>
      <c r="AA294" s="43"/>
      <c r="AB294" s="43"/>
      <c r="AC294" s="43"/>
      <c r="AD294" s="43"/>
      <c r="AE294" s="35"/>
      <c r="AF294" s="35"/>
      <c r="AG294" s="35"/>
      <c r="AH294" s="35"/>
      <c r="AI294" s="35"/>
      <c r="AJ294" s="35"/>
      <c r="AK294" s="35"/>
      <c r="AL294" s="35"/>
      <c r="AM294" s="35"/>
      <c r="AN294" s="36"/>
      <c r="AO294" s="36"/>
      <c r="AP294" s="36"/>
      <c r="AQ294" s="36"/>
      <c r="AR294" s="36"/>
      <c r="AS294" s="36"/>
      <c r="AT294" s="36"/>
      <c r="AU294" s="36"/>
      <c r="AV294" s="36"/>
      <c r="AW294" s="36"/>
      <c r="AX294" s="36"/>
      <c r="AY294" s="36"/>
      <c r="AZ294" s="36"/>
      <c r="BA294" s="36"/>
      <c r="BB294" s="36"/>
      <c r="BC294" s="36"/>
      <c r="BD294" s="36"/>
      <c r="BE294" s="36"/>
    </row>
    <row r="295" spans="2:57" s="30" customFormat="1" ht="15.75" x14ac:dyDescent="0.2">
      <c r="B295" s="8" t="s">
        <v>545</v>
      </c>
      <c r="C295" s="33"/>
      <c r="D295" s="81"/>
      <c r="G295" s="33"/>
      <c r="H295" s="81"/>
      <c r="J295" s="32"/>
      <c r="K295" s="37"/>
      <c r="L295" s="37"/>
      <c r="M295" s="81"/>
      <c r="N295" s="81"/>
      <c r="O295" s="249" t="s">
        <v>584</v>
      </c>
      <c r="Q295" s="34"/>
      <c r="R295" s="43"/>
      <c r="S295" s="35"/>
      <c r="T295" s="43"/>
      <c r="U295" s="43"/>
      <c r="V295" s="43"/>
      <c r="W295" s="43"/>
      <c r="X295" s="43"/>
      <c r="Y295" s="43"/>
      <c r="Z295" s="43"/>
      <c r="AA295" s="43"/>
      <c r="AB295" s="43"/>
      <c r="AC295" s="43"/>
      <c r="AD295" s="43"/>
      <c r="AE295" s="35"/>
      <c r="AF295" s="35"/>
      <c r="AG295" s="35"/>
      <c r="AH295" s="35"/>
      <c r="AI295" s="35"/>
      <c r="AJ295" s="35"/>
      <c r="AK295" s="35"/>
      <c r="AL295" s="35"/>
      <c r="AM295" s="35"/>
      <c r="AN295" s="36"/>
      <c r="AO295" s="36"/>
      <c r="AP295" s="36"/>
      <c r="AQ295" s="36"/>
      <c r="AR295" s="36"/>
      <c r="AS295" s="36"/>
      <c r="AT295" s="36"/>
      <c r="AU295" s="36"/>
      <c r="AV295" s="36"/>
      <c r="AW295" s="36"/>
      <c r="AX295" s="36"/>
      <c r="AY295" s="36"/>
      <c r="AZ295" s="36"/>
      <c r="BA295" s="36"/>
      <c r="BB295" s="36"/>
      <c r="BC295" s="36"/>
      <c r="BD295" s="36"/>
      <c r="BE295" s="36"/>
    </row>
    <row r="296" spans="2:57" s="30" customFormat="1" ht="15.75" x14ac:dyDescent="0.2">
      <c r="B296" s="8"/>
      <c r="C296" s="33"/>
      <c r="D296" s="81"/>
      <c r="G296" s="33"/>
      <c r="H296" s="81"/>
      <c r="J296" s="32"/>
      <c r="K296" s="37" t="s">
        <v>297</v>
      </c>
      <c r="L296" s="37" t="s">
        <v>185</v>
      </c>
      <c r="M296" s="81"/>
      <c r="N296" s="81"/>
      <c r="O296" s="250"/>
      <c r="Q296" s="34"/>
      <c r="R296" s="43" t="s">
        <v>318</v>
      </c>
      <c r="S296" s="35"/>
      <c r="T296" s="43"/>
      <c r="U296" s="43"/>
      <c r="V296" s="43"/>
      <c r="W296" s="43"/>
      <c r="X296" s="43"/>
      <c r="Y296" s="43"/>
      <c r="Z296" s="43"/>
      <c r="AA296" s="43"/>
      <c r="AB296" s="43"/>
      <c r="AC296" s="43"/>
      <c r="AD296" s="43"/>
      <c r="AE296" s="35"/>
      <c r="AF296" s="35"/>
      <c r="AG296" s="35"/>
      <c r="AH296" s="35"/>
      <c r="AI296" s="35"/>
      <c r="AJ296" s="35"/>
      <c r="AK296" s="35"/>
      <c r="AL296" s="35"/>
      <c r="AM296" s="35"/>
      <c r="AN296" s="36"/>
      <c r="AO296" s="36"/>
      <c r="AP296" s="36"/>
      <c r="AQ296" s="36"/>
      <c r="AR296" s="36"/>
      <c r="AS296" s="36"/>
      <c r="AT296" s="36"/>
      <c r="AU296" s="36"/>
      <c r="AV296" s="36"/>
      <c r="AW296" s="36"/>
      <c r="AX296" s="36"/>
      <c r="AY296" s="36"/>
      <c r="AZ296" s="36"/>
      <c r="BA296" s="36"/>
      <c r="BB296" s="36"/>
      <c r="BC296" s="36"/>
      <c r="BD296" s="36"/>
      <c r="BE296" s="36"/>
    </row>
    <row r="297" spans="2:57" s="30" customFormat="1" ht="30" x14ac:dyDescent="0.2">
      <c r="B297" s="83" t="s">
        <v>500</v>
      </c>
      <c r="C297" s="156"/>
      <c r="D297" s="81" t="s">
        <v>163</v>
      </c>
      <c r="G297" s="33"/>
      <c r="H297" s="81"/>
      <c r="J297" s="32" t="s">
        <v>513</v>
      </c>
      <c r="K297" s="92">
        <f>IF(ISNUMBER(L297),L297,Muut!$F$29*IF(OR(C298=Pudotusvalikot!$V$3,C298=Pudotusvalikot!$V$4),Muut!$E$40,IF(C298=Pudotusvalikot!$V$5,Muut!$E$41,IF(C298=Pudotusvalikot!$V$6,Muut!$E$42,Muut!$E$43))))</f>
        <v>0.22753333333333334</v>
      </c>
      <c r="L297" s="61"/>
      <c r="M297" s="40" t="s">
        <v>207</v>
      </c>
      <c r="N297" s="40"/>
      <c r="O297" s="259"/>
      <c r="Q297" s="34"/>
      <c r="R297" s="236" t="str">
        <f>IF(AND(ISNUMBER(K297),ISNUMBER(C297)),K297*C297,"")</f>
        <v/>
      </c>
      <c r="S297" s="98" t="s">
        <v>160</v>
      </c>
      <c r="T297" s="216"/>
      <c r="U297" s="216"/>
      <c r="V297" s="216"/>
      <c r="W297" s="43"/>
      <c r="X297" s="43"/>
      <c r="Y297" s="43"/>
      <c r="Z297" s="43"/>
      <c r="AA297" s="43"/>
      <c r="AB297" s="43"/>
      <c r="AC297" s="43"/>
      <c r="AD297" s="43"/>
      <c r="AE297" s="35"/>
      <c r="AF297" s="35"/>
      <c r="AG297" s="35"/>
      <c r="AH297" s="35"/>
      <c r="AI297" s="35"/>
      <c r="AJ297" s="35"/>
      <c r="AK297" s="35"/>
      <c r="AL297" s="35"/>
      <c r="AM297" s="35"/>
      <c r="AN297" s="36"/>
      <c r="AO297" s="36"/>
      <c r="AP297" s="36"/>
      <c r="AQ297" s="36"/>
      <c r="AR297" s="36"/>
      <c r="AS297" s="36"/>
      <c r="AT297" s="36"/>
      <c r="AU297" s="36"/>
      <c r="AV297" s="36"/>
      <c r="AW297" s="36"/>
      <c r="AX297" s="36"/>
      <c r="AY297" s="36"/>
      <c r="AZ297" s="36"/>
      <c r="BA297" s="36"/>
      <c r="BB297" s="36"/>
      <c r="BC297" s="36"/>
      <c r="BD297" s="36"/>
      <c r="BE297" s="36"/>
    </row>
    <row r="298" spans="2:57" s="30" customFormat="1" ht="15" x14ac:dyDescent="0.2">
      <c r="B298" s="166" t="s">
        <v>460</v>
      </c>
      <c r="C298" s="156" t="s">
        <v>309</v>
      </c>
      <c r="D298" s="33"/>
      <c r="E298" s="33"/>
      <c r="F298" s="33"/>
      <c r="G298" s="33"/>
      <c r="H298" s="33"/>
      <c r="I298" s="33"/>
      <c r="J298" s="169"/>
      <c r="K298" s="169"/>
      <c r="L298" s="169"/>
      <c r="M298" s="40"/>
      <c r="N298" s="40"/>
      <c r="O298" s="259"/>
      <c r="Q298" s="45"/>
      <c r="R298" s="216"/>
      <c r="S298" s="98"/>
      <c r="T298" s="43"/>
      <c r="U298" s="43"/>
      <c r="V298" s="215"/>
      <c r="W298" s="215"/>
      <c r="X298" s="216"/>
      <c r="Y298" s="43"/>
      <c r="Z298" s="216"/>
      <c r="AA298" s="217"/>
      <c r="AB298" s="216"/>
      <c r="AC298" s="216"/>
      <c r="AD298" s="216"/>
      <c r="AE298" s="59"/>
      <c r="AF298" s="178"/>
      <c r="AG298" s="59"/>
      <c r="AH298" s="35"/>
      <c r="AI298" s="35"/>
      <c r="AJ298" s="35"/>
      <c r="AK298" s="104"/>
      <c r="AL298" s="35"/>
      <c r="AM298" s="35"/>
      <c r="AN298" s="36"/>
      <c r="AO298" s="36"/>
      <c r="AP298" s="36"/>
      <c r="AQ298" s="36"/>
      <c r="AR298" s="36"/>
      <c r="AS298" s="36"/>
      <c r="AT298" s="36"/>
      <c r="AU298" s="36"/>
      <c r="AV298" s="36"/>
      <c r="AW298" s="36"/>
      <c r="AX298" s="36"/>
      <c r="AY298" s="36"/>
      <c r="AZ298" s="36"/>
      <c r="BA298" s="36"/>
      <c r="BB298" s="36"/>
      <c r="BC298" s="36"/>
      <c r="BD298" s="36"/>
      <c r="BE298" s="36"/>
    </row>
    <row r="299" spans="2:57" s="30" customFormat="1" ht="45" x14ac:dyDescent="0.2">
      <c r="B299" s="83" t="s">
        <v>476</v>
      </c>
      <c r="F299" s="33"/>
      <c r="G299" s="33"/>
      <c r="H299" s="33"/>
      <c r="I299" s="33"/>
      <c r="K299" s="37" t="s">
        <v>297</v>
      </c>
      <c r="L299" s="37" t="s">
        <v>185</v>
      </c>
      <c r="M299" s="81"/>
      <c r="N299" s="81"/>
      <c r="O299" s="96"/>
      <c r="Q299" s="34"/>
      <c r="R299" s="43" t="s">
        <v>318</v>
      </c>
      <c r="S299" s="104"/>
      <c r="T299" s="43"/>
      <c r="U299" s="43"/>
      <c r="V299" s="43"/>
      <c r="W299" s="43"/>
      <c r="X299" s="43"/>
      <c r="Y299" s="43"/>
      <c r="Z299" s="43"/>
      <c r="AA299" s="43"/>
      <c r="AB299" s="43"/>
      <c r="AC299" s="43"/>
      <c r="AD299" s="43"/>
      <c r="AE299" s="35"/>
      <c r="AF299" s="35"/>
      <c r="AG299" s="35"/>
      <c r="AH299" s="35"/>
      <c r="AI299" s="35"/>
      <c r="AJ299" s="35"/>
      <c r="AK299" s="35"/>
      <c r="AL299" s="35"/>
      <c r="AM299" s="35"/>
      <c r="AN299" s="36"/>
      <c r="AO299" s="36"/>
      <c r="AP299" s="36"/>
      <c r="AQ299" s="36"/>
      <c r="AR299" s="36"/>
      <c r="AS299" s="36"/>
      <c r="AT299" s="36"/>
      <c r="AU299" s="36"/>
      <c r="AV299" s="36"/>
      <c r="AW299" s="36"/>
      <c r="AX299" s="36"/>
      <c r="AY299" s="36"/>
      <c r="AZ299" s="36"/>
      <c r="BA299" s="36"/>
      <c r="BB299" s="36"/>
      <c r="BC299" s="36"/>
      <c r="BD299" s="36"/>
      <c r="BE299" s="36"/>
    </row>
    <row r="300" spans="2:57" s="30" customFormat="1" ht="15" customHeight="1" x14ac:dyDescent="0.2">
      <c r="B300" s="132" t="s">
        <v>503</v>
      </c>
      <c r="C300" s="64"/>
      <c r="D300" s="81" t="s">
        <v>52</v>
      </c>
      <c r="G300" s="33"/>
      <c r="H300" s="81"/>
      <c r="J300" s="32" t="s">
        <v>347</v>
      </c>
      <c r="K300" s="134">
        <f>IF(ISNUMBER(L300),L300,Muut!$F$31)</f>
        <v>33.857142857142854</v>
      </c>
      <c r="L300" s="61"/>
      <c r="M300" s="40" t="s">
        <v>248</v>
      </c>
      <c r="N300" s="40"/>
      <c r="O300" s="259"/>
      <c r="Q300" s="34"/>
      <c r="R300" s="236" t="str">
        <f>IF(AND(ISNUMBER(K300),ISNUMBER(C300)),K300*C300,"")</f>
        <v/>
      </c>
      <c r="S300" s="98" t="s">
        <v>160</v>
      </c>
      <c r="T300" s="43"/>
      <c r="U300" s="43"/>
      <c r="V300" s="43"/>
      <c r="W300" s="43"/>
      <c r="X300" s="43"/>
      <c r="Y300" s="43"/>
      <c r="Z300" s="43"/>
      <c r="AA300" s="43"/>
      <c r="AB300" s="43"/>
      <c r="AC300" s="43"/>
      <c r="AD300" s="43"/>
      <c r="AE300" s="35"/>
      <c r="AF300" s="35"/>
      <c r="AG300" s="35"/>
      <c r="AH300" s="35"/>
      <c r="AI300" s="35"/>
      <c r="AJ300" s="35"/>
      <c r="AK300" s="35"/>
      <c r="AL300" s="35"/>
      <c r="AM300" s="35"/>
      <c r="AN300" s="36"/>
      <c r="AO300" s="36"/>
      <c r="AP300" s="36"/>
      <c r="AQ300" s="36"/>
      <c r="AR300" s="36"/>
      <c r="AS300" s="36"/>
      <c r="AT300" s="36"/>
      <c r="AU300" s="36"/>
      <c r="AV300" s="36"/>
      <c r="AW300" s="36"/>
      <c r="AX300" s="36"/>
      <c r="AY300" s="36"/>
      <c r="AZ300" s="36"/>
      <c r="BA300" s="36"/>
      <c r="BB300" s="36"/>
      <c r="BC300" s="36"/>
      <c r="BD300" s="36"/>
      <c r="BE300" s="36"/>
    </row>
    <row r="301" spans="2:57" s="30" customFormat="1" ht="15" customHeight="1" x14ac:dyDescent="0.2">
      <c r="B301" s="166" t="s">
        <v>518</v>
      </c>
      <c r="C301" s="150"/>
      <c r="D301" s="81" t="str">
        <f>IF(ISBLANK(C301),"%","")</f>
        <v>%</v>
      </c>
      <c r="E301" s="33"/>
      <c r="F301" s="33"/>
      <c r="G301" s="33"/>
      <c r="H301" s="81"/>
      <c r="J301" s="32" t="s">
        <v>508</v>
      </c>
      <c r="K301" s="92" t="str">
        <f>IF(ISNUMBER(L301),L301,"")</f>
        <v/>
      </c>
      <c r="L301" s="181"/>
      <c r="M301" s="40" t="s">
        <v>248</v>
      </c>
      <c r="N301" s="40"/>
      <c r="O301" s="259"/>
      <c r="Q301" s="34"/>
      <c r="R301" s="236" t="str">
        <f>IF(AND(ISNUMBER(K301),ISNUMBER(C301)),-K301*C301*C300,"")</f>
        <v/>
      </c>
      <c r="S301" s="98" t="s">
        <v>160</v>
      </c>
      <c r="T301" s="225" t="s">
        <v>348</v>
      </c>
      <c r="U301" s="43"/>
      <c r="V301" s="43"/>
      <c r="W301" s="43"/>
      <c r="X301" s="43"/>
      <c r="Y301" s="43"/>
      <c r="Z301" s="43"/>
      <c r="AA301" s="43"/>
      <c r="AB301" s="43"/>
      <c r="AC301" s="43"/>
      <c r="AD301" s="43"/>
      <c r="AE301" s="35"/>
      <c r="AF301" s="35"/>
      <c r="AG301" s="35"/>
      <c r="AH301" s="35"/>
      <c r="AI301" s="35"/>
      <c r="AJ301" s="35"/>
      <c r="AK301" s="35"/>
      <c r="AL301" s="35"/>
      <c r="AM301" s="35"/>
      <c r="AN301" s="36"/>
      <c r="AO301" s="36"/>
      <c r="AP301" s="36"/>
      <c r="AQ301" s="36"/>
      <c r="AR301" s="36"/>
      <c r="AS301" s="36"/>
      <c r="AT301" s="36"/>
      <c r="AU301" s="36"/>
      <c r="AV301" s="36"/>
      <c r="AW301" s="36"/>
      <c r="AX301" s="36"/>
      <c r="AY301" s="36"/>
      <c r="AZ301" s="36"/>
      <c r="BA301" s="36"/>
      <c r="BB301" s="36"/>
      <c r="BC301" s="36"/>
      <c r="BD301" s="36"/>
      <c r="BE301" s="36"/>
    </row>
    <row r="302" spans="2:57" s="30" customFormat="1" ht="15" customHeight="1" x14ac:dyDescent="0.2">
      <c r="B302" s="166" t="s">
        <v>519</v>
      </c>
      <c r="C302" s="150"/>
      <c r="D302" s="81" t="str">
        <f>IF(ISBLANK(C302),"%","")</f>
        <v>%</v>
      </c>
      <c r="E302" s="33"/>
      <c r="F302" s="33"/>
      <c r="G302" s="33"/>
      <c r="H302" s="81"/>
      <c r="J302" s="32" t="s">
        <v>512</v>
      </c>
      <c r="K302" s="92" t="str">
        <f>IF(ISNUMBER(L302),L302,"")</f>
        <v/>
      </c>
      <c r="L302" s="181"/>
      <c r="M302" s="40" t="s">
        <v>248</v>
      </c>
      <c r="N302" s="40"/>
      <c r="O302" s="259"/>
      <c r="Q302" s="34"/>
      <c r="R302" s="236" t="str">
        <f>IF(AND(ISNUMBER(K302),ISNUMBER(C302)),-K302*C302*C300,"")</f>
        <v/>
      </c>
      <c r="S302" s="98" t="s">
        <v>160</v>
      </c>
      <c r="T302" s="225" t="s">
        <v>348</v>
      </c>
      <c r="U302" s="43"/>
      <c r="V302" s="43"/>
      <c r="W302" s="43"/>
      <c r="X302" s="43"/>
      <c r="Y302" s="43"/>
      <c r="Z302" s="43"/>
      <c r="AA302" s="43"/>
      <c r="AB302" s="43"/>
      <c r="AC302" s="43"/>
      <c r="AD302" s="43"/>
      <c r="AE302" s="35"/>
      <c r="AF302" s="35"/>
      <c r="AG302" s="35"/>
      <c r="AH302" s="35"/>
      <c r="AI302" s="35"/>
      <c r="AJ302" s="35"/>
      <c r="AK302" s="35"/>
      <c r="AL302" s="35"/>
      <c r="AM302" s="35"/>
      <c r="AN302" s="36"/>
      <c r="AO302" s="36"/>
      <c r="AP302" s="36"/>
      <c r="AQ302" s="36"/>
      <c r="AR302" s="36"/>
      <c r="AS302" s="36"/>
      <c r="AT302" s="36"/>
      <c r="AU302" s="36"/>
      <c r="AV302" s="36"/>
      <c r="AW302" s="36"/>
      <c r="AX302" s="36"/>
      <c r="AY302" s="36"/>
      <c r="AZ302" s="36"/>
      <c r="BA302" s="36"/>
      <c r="BB302" s="36"/>
      <c r="BC302" s="36"/>
      <c r="BD302" s="36"/>
      <c r="BE302" s="36"/>
    </row>
    <row r="303" spans="2:57" s="30" customFormat="1" ht="15" customHeight="1" x14ac:dyDescent="0.2">
      <c r="B303" s="132" t="s">
        <v>504</v>
      </c>
      <c r="C303" s="64"/>
      <c r="D303" s="81" t="s">
        <v>52</v>
      </c>
      <c r="G303" s="33"/>
      <c r="H303" s="81"/>
      <c r="J303" s="32" t="s">
        <v>347</v>
      </c>
      <c r="K303" s="134">
        <f>IF(ISNUMBER(L303),L303,Muut!$F$31)</f>
        <v>33.857142857142854</v>
      </c>
      <c r="L303" s="61"/>
      <c r="M303" s="40" t="s">
        <v>248</v>
      </c>
      <c r="N303" s="40"/>
      <c r="O303" s="259"/>
      <c r="Q303" s="34"/>
      <c r="R303" s="236" t="str">
        <f>IF(AND(ISNUMBER(K303),ISNUMBER(C303)),K303*C303,"")</f>
        <v/>
      </c>
      <c r="S303" s="98" t="s">
        <v>160</v>
      </c>
      <c r="T303" s="43"/>
      <c r="U303" s="43"/>
      <c r="V303" s="43"/>
      <c r="W303" s="43"/>
      <c r="X303" s="43"/>
      <c r="Y303" s="43"/>
      <c r="Z303" s="43"/>
      <c r="AA303" s="43"/>
      <c r="AB303" s="43"/>
      <c r="AC303" s="43"/>
      <c r="AD303" s="43"/>
      <c r="AE303" s="35"/>
      <c r="AF303" s="35"/>
      <c r="AG303" s="35"/>
      <c r="AH303" s="35"/>
      <c r="AI303" s="35"/>
      <c r="AJ303" s="35"/>
      <c r="AK303" s="35"/>
      <c r="AL303" s="35"/>
      <c r="AM303" s="35"/>
      <c r="AN303" s="36"/>
      <c r="AO303" s="36"/>
      <c r="AP303" s="36"/>
      <c r="AQ303" s="36"/>
      <c r="AR303" s="36"/>
      <c r="AS303" s="36"/>
      <c r="AT303" s="36"/>
      <c r="AU303" s="36"/>
      <c r="AV303" s="36"/>
      <c r="AW303" s="36"/>
      <c r="AX303" s="36"/>
      <c r="AY303" s="36"/>
      <c r="AZ303" s="36"/>
      <c r="BA303" s="36"/>
      <c r="BB303" s="36"/>
      <c r="BC303" s="36"/>
      <c r="BD303" s="36"/>
      <c r="BE303" s="36"/>
    </row>
    <row r="304" spans="2:57" s="30" customFormat="1" ht="15" customHeight="1" x14ac:dyDescent="0.2">
      <c r="B304" s="166" t="s">
        <v>520</v>
      </c>
      <c r="C304" s="150"/>
      <c r="D304" s="81" t="str">
        <f t="shared" ref="D304:D305" si="0">IF(ISBLANK(C304),"%","")</f>
        <v>%</v>
      </c>
      <c r="G304" s="33"/>
      <c r="H304" s="81"/>
      <c r="J304" s="32" t="s">
        <v>508</v>
      </c>
      <c r="K304" s="92" t="str">
        <f>IF(ISNUMBER(L304),L304,"")</f>
        <v/>
      </c>
      <c r="L304" s="181"/>
      <c r="M304" s="40" t="s">
        <v>248</v>
      </c>
      <c r="N304" s="40"/>
      <c r="O304" s="259"/>
      <c r="Q304" s="34"/>
      <c r="R304" s="236" t="str">
        <f>IF(AND(ISNUMBER(K304),ISNUMBER(C304)),-K304*C304*C303,"")</f>
        <v/>
      </c>
      <c r="S304" s="98" t="s">
        <v>160</v>
      </c>
      <c r="T304" s="225" t="s">
        <v>348</v>
      </c>
      <c r="U304" s="43"/>
      <c r="V304" s="43"/>
      <c r="W304" s="43"/>
      <c r="X304" s="43"/>
      <c r="Y304" s="43"/>
      <c r="Z304" s="43"/>
      <c r="AA304" s="43"/>
      <c r="AB304" s="43"/>
      <c r="AC304" s="43"/>
      <c r="AD304" s="43"/>
      <c r="AE304" s="35"/>
      <c r="AF304" s="35"/>
      <c r="AG304" s="35"/>
      <c r="AH304" s="35"/>
      <c r="AI304" s="35"/>
      <c r="AJ304" s="35"/>
      <c r="AK304" s="35"/>
      <c r="AL304" s="35"/>
      <c r="AM304" s="35"/>
      <c r="AN304" s="36"/>
      <c r="AO304" s="36"/>
      <c r="AP304" s="36"/>
      <c r="AQ304" s="36"/>
      <c r="AR304" s="36"/>
      <c r="AS304" s="36"/>
      <c r="AT304" s="36"/>
      <c r="AU304" s="36"/>
      <c r="AV304" s="36"/>
      <c r="AW304" s="36"/>
      <c r="AX304" s="36"/>
      <c r="AY304" s="36"/>
      <c r="AZ304" s="36"/>
      <c r="BA304" s="36"/>
      <c r="BB304" s="36"/>
      <c r="BC304" s="36"/>
      <c r="BD304" s="36"/>
      <c r="BE304" s="36"/>
    </row>
    <row r="305" spans="2:57" s="30" customFormat="1" ht="15" customHeight="1" x14ac:dyDescent="0.2">
      <c r="B305" s="166" t="s">
        <v>519</v>
      </c>
      <c r="C305" s="150"/>
      <c r="D305" s="81" t="str">
        <f t="shared" si="0"/>
        <v>%</v>
      </c>
      <c r="E305" s="33"/>
      <c r="F305" s="33"/>
      <c r="G305" s="33"/>
      <c r="H305" s="81"/>
      <c r="J305" s="32" t="s">
        <v>512</v>
      </c>
      <c r="K305" s="92" t="str">
        <f>IF(ISNUMBER(L305),L305,"")</f>
        <v/>
      </c>
      <c r="L305" s="181"/>
      <c r="M305" s="40" t="s">
        <v>248</v>
      </c>
      <c r="N305" s="40"/>
      <c r="O305" s="259"/>
      <c r="Q305" s="34"/>
      <c r="R305" s="236" t="str">
        <f>IF(AND(ISNUMBER(K305),ISNUMBER(C305)),-K305*C305*C303,"")</f>
        <v/>
      </c>
      <c r="S305" s="98" t="s">
        <v>160</v>
      </c>
      <c r="T305" s="225" t="s">
        <v>348</v>
      </c>
      <c r="U305" s="43"/>
      <c r="V305" s="43"/>
      <c r="W305" s="43"/>
      <c r="X305" s="43"/>
      <c r="Y305" s="43"/>
      <c r="Z305" s="43"/>
      <c r="AA305" s="43"/>
      <c r="AB305" s="43"/>
      <c r="AC305" s="43"/>
      <c r="AD305" s="43"/>
      <c r="AE305" s="35"/>
      <c r="AF305" s="35"/>
      <c r="AG305" s="35"/>
      <c r="AH305" s="35"/>
      <c r="AI305" s="35"/>
      <c r="AJ305" s="35"/>
      <c r="AK305" s="35"/>
      <c r="AL305" s="35"/>
      <c r="AM305" s="35"/>
      <c r="AN305" s="36"/>
      <c r="AO305" s="36"/>
      <c r="AP305" s="36"/>
      <c r="AQ305" s="36"/>
      <c r="AR305" s="36"/>
      <c r="AS305" s="36"/>
      <c r="AT305" s="36"/>
      <c r="AU305" s="36"/>
      <c r="AV305" s="36"/>
      <c r="AW305" s="36"/>
      <c r="AX305" s="36"/>
      <c r="AY305" s="36"/>
      <c r="AZ305" s="36"/>
      <c r="BA305" s="36"/>
      <c r="BB305" s="36"/>
      <c r="BC305" s="36"/>
      <c r="BD305" s="36"/>
      <c r="BE305" s="36"/>
    </row>
    <row r="306" spans="2:57" s="30" customFormat="1" ht="15" customHeight="1" x14ac:dyDescent="0.2">
      <c r="B306" s="132" t="s">
        <v>505</v>
      </c>
      <c r="C306" s="64"/>
      <c r="D306" s="81" t="s">
        <v>52</v>
      </c>
      <c r="G306" s="33"/>
      <c r="H306" s="81"/>
      <c r="J306" s="32" t="s">
        <v>347</v>
      </c>
      <c r="K306" s="134">
        <f>IF(ISNUMBER(L306),L306,Muut!$F$31)</f>
        <v>33.857142857142854</v>
      </c>
      <c r="L306" s="61"/>
      <c r="M306" s="40" t="s">
        <v>248</v>
      </c>
      <c r="N306" s="40"/>
      <c r="O306" s="259"/>
      <c r="Q306" s="34"/>
      <c r="R306" s="236" t="str">
        <f>IF(AND(ISNUMBER(K306),ISNUMBER(C306)),K306*C306,"")</f>
        <v/>
      </c>
      <c r="S306" s="98" t="s">
        <v>160</v>
      </c>
      <c r="T306" s="43"/>
      <c r="U306" s="43"/>
      <c r="V306" s="43"/>
      <c r="W306" s="43"/>
      <c r="X306" s="43"/>
      <c r="Y306" s="43"/>
      <c r="Z306" s="43"/>
      <c r="AA306" s="43"/>
      <c r="AB306" s="43"/>
      <c r="AC306" s="43"/>
      <c r="AD306" s="43"/>
      <c r="AE306" s="35"/>
      <c r="AF306" s="35"/>
      <c r="AG306" s="35"/>
      <c r="AH306" s="35"/>
      <c r="AI306" s="35"/>
      <c r="AJ306" s="35"/>
      <c r="AK306" s="35"/>
      <c r="AL306" s="35"/>
      <c r="AM306" s="35"/>
      <c r="AN306" s="36"/>
      <c r="AO306" s="36"/>
      <c r="AP306" s="36"/>
      <c r="AQ306" s="36"/>
      <c r="AR306" s="36"/>
      <c r="AS306" s="36"/>
      <c r="AT306" s="36"/>
      <c r="AU306" s="36"/>
      <c r="AV306" s="36"/>
      <c r="AW306" s="36"/>
      <c r="AX306" s="36"/>
      <c r="AY306" s="36"/>
      <c r="AZ306" s="36"/>
      <c r="BA306" s="36"/>
      <c r="BB306" s="36"/>
      <c r="BC306" s="36"/>
      <c r="BD306" s="36"/>
      <c r="BE306" s="36"/>
    </row>
    <row r="307" spans="2:57" s="30" customFormat="1" ht="15" customHeight="1" x14ac:dyDescent="0.2">
      <c r="B307" s="166" t="s">
        <v>520</v>
      </c>
      <c r="C307" s="150"/>
      <c r="D307" s="81" t="str">
        <f t="shared" ref="D307:D308" si="1">IF(ISBLANK(C307),"%","")</f>
        <v>%</v>
      </c>
      <c r="E307" s="33"/>
      <c r="F307" s="33"/>
      <c r="G307" s="33"/>
      <c r="H307" s="81"/>
      <c r="J307" s="32" t="s">
        <v>508</v>
      </c>
      <c r="K307" s="92" t="str">
        <f>IF(ISNUMBER(L307),L307,"")</f>
        <v/>
      </c>
      <c r="L307" s="181"/>
      <c r="M307" s="40" t="s">
        <v>248</v>
      </c>
      <c r="N307" s="40"/>
      <c r="O307" s="259"/>
      <c r="Q307" s="34"/>
      <c r="R307" s="236" t="str">
        <f>IF(AND(ISNUMBER(K307),ISNUMBER(C307)),-K307*C307*C306,"")</f>
        <v/>
      </c>
      <c r="S307" s="98" t="s">
        <v>160</v>
      </c>
      <c r="T307" s="225" t="s">
        <v>348</v>
      </c>
      <c r="U307" s="43"/>
      <c r="V307" s="43"/>
      <c r="W307" s="43"/>
      <c r="X307" s="43"/>
      <c r="Y307" s="43"/>
      <c r="Z307" s="43"/>
      <c r="AA307" s="43"/>
      <c r="AB307" s="43"/>
      <c r="AC307" s="43"/>
      <c r="AD307" s="43"/>
      <c r="AE307" s="35"/>
      <c r="AF307" s="35"/>
      <c r="AG307" s="35"/>
      <c r="AH307" s="35"/>
      <c r="AI307" s="35"/>
      <c r="AJ307" s="35"/>
      <c r="AK307" s="35"/>
      <c r="AL307" s="35"/>
      <c r="AM307" s="35"/>
      <c r="AN307" s="36"/>
      <c r="AO307" s="36"/>
      <c r="AP307" s="36"/>
      <c r="AQ307" s="36"/>
      <c r="AR307" s="36"/>
      <c r="AS307" s="36"/>
      <c r="AT307" s="36"/>
      <c r="AU307" s="36"/>
      <c r="AV307" s="36"/>
      <c r="AW307" s="36"/>
      <c r="AX307" s="36"/>
      <c r="AY307" s="36"/>
      <c r="AZ307" s="36"/>
      <c r="BA307" s="36"/>
      <c r="BB307" s="36"/>
      <c r="BC307" s="36"/>
      <c r="BD307" s="36"/>
      <c r="BE307" s="36"/>
    </row>
    <row r="308" spans="2:57" s="30" customFormat="1" ht="15" customHeight="1" x14ac:dyDescent="0.2">
      <c r="B308" s="166" t="s">
        <v>519</v>
      </c>
      <c r="C308" s="150"/>
      <c r="D308" s="81" t="str">
        <f t="shared" si="1"/>
        <v>%</v>
      </c>
      <c r="E308" s="33"/>
      <c r="F308" s="33"/>
      <c r="G308" s="33"/>
      <c r="H308" s="81"/>
      <c r="J308" s="32" t="s">
        <v>512</v>
      </c>
      <c r="K308" s="92" t="str">
        <f>IF(ISNUMBER(L308),L308,"")</f>
        <v/>
      </c>
      <c r="L308" s="181"/>
      <c r="M308" s="40" t="s">
        <v>248</v>
      </c>
      <c r="N308" s="40"/>
      <c r="O308" s="259"/>
      <c r="Q308" s="34"/>
      <c r="R308" s="236" t="str">
        <f>IF(AND(ISNUMBER(K308),ISNUMBER(C308)),-K308*C308*C306,"")</f>
        <v/>
      </c>
      <c r="S308" s="98" t="s">
        <v>160</v>
      </c>
      <c r="T308" s="225" t="s">
        <v>348</v>
      </c>
      <c r="U308" s="43"/>
      <c r="V308" s="43"/>
      <c r="W308" s="43"/>
      <c r="X308" s="43"/>
      <c r="Y308" s="43"/>
      <c r="Z308" s="43"/>
      <c r="AA308" s="43"/>
      <c r="AB308" s="43"/>
      <c r="AC308" s="43"/>
      <c r="AD308" s="43"/>
      <c r="AE308" s="35"/>
      <c r="AF308" s="35"/>
      <c r="AG308" s="35"/>
      <c r="AH308" s="35"/>
      <c r="AI308" s="35"/>
      <c r="AJ308" s="35"/>
      <c r="AK308" s="35"/>
      <c r="AL308" s="35"/>
      <c r="AM308" s="35"/>
      <c r="AN308" s="36"/>
      <c r="AO308" s="36"/>
      <c r="AP308" s="36"/>
      <c r="AQ308" s="36"/>
      <c r="AR308" s="36"/>
      <c r="AS308" s="36"/>
      <c r="AT308" s="36"/>
      <c r="AU308" s="36"/>
      <c r="AV308" s="36"/>
      <c r="AW308" s="36"/>
      <c r="AX308" s="36"/>
      <c r="AY308" s="36"/>
      <c r="AZ308" s="36"/>
      <c r="BA308" s="36"/>
      <c r="BB308" s="36"/>
      <c r="BC308" s="36"/>
      <c r="BD308" s="36"/>
      <c r="BE308" s="36"/>
    </row>
    <row r="309" spans="2:57" s="30" customFormat="1" ht="15" customHeight="1" x14ac:dyDescent="0.2">
      <c r="B309" s="132" t="s">
        <v>506</v>
      </c>
      <c r="C309" s="64"/>
      <c r="D309" s="81" t="s">
        <v>52</v>
      </c>
      <c r="G309" s="33"/>
      <c r="H309" s="81"/>
      <c r="J309" s="32" t="s">
        <v>347</v>
      </c>
      <c r="K309" s="134">
        <f>IF(ISNUMBER(L309),L309,Muut!$F$31)</f>
        <v>33.857142857142854</v>
      </c>
      <c r="L309" s="61"/>
      <c r="M309" s="40" t="s">
        <v>248</v>
      </c>
      <c r="N309" s="40"/>
      <c r="O309" s="259"/>
      <c r="Q309" s="34"/>
      <c r="R309" s="236" t="str">
        <f>IF(AND(ISNUMBER(K309),ISNUMBER(C309)),K309*C309,"")</f>
        <v/>
      </c>
      <c r="S309" s="98" t="s">
        <v>160</v>
      </c>
      <c r="T309" s="43"/>
      <c r="U309" s="43"/>
      <c r="V309" s="43"/>
      <c r="W309" s="43"/>
      <c r="X309" s="43"/>
      <c r="Y309" s="43"/>
      <c r="Z309" s="43"/>
      <c r="AA309" s="43"/>
      <c r="AB309" s="43"/>
      <c r="AC309" s="43"/>
      <c r="AD309" s="43"/>
      <c r="AE309" s="35"/>
      <c r="AF309" s="35"/>
      <c r="AG309" s="35"/>
      <c r="AH309" s="35"/>
      <c r="AI309" s="35"/>
      <c r="AJ309" s="35"/>
      <c r="AK309" s="35"/>
      <c r="AL309" s="35"/>
      <c r="AM309" s="35"/>
      <c r="AN309" s="36"/>
      <c r="AO309" s="36"/>
      <c r="AP309" s="36"/>
      <c r="AQ309" s="36"/>
      <c r="AR309" s="36"/>
      <c r="AS309" s="36"/>
      <c r="AT309" s="36"/>
      <c r="AU309" s="36"/>
      <c r="AV309" s="36"/>
      <c r="AW309" s="36"/>
      <c r="AX309" s="36"/>
      <c r="AY309" s="36"/>
      <c r="AZ309" s="36"/>
      <c r="BA309" s="36"/>
      <c r="BB309" s="36"/>
      <c r="BC309" s="36"/>
      <c r="BD309" s="36"/>
      <c r="BE309" s="36"/>
    </row>
    <row r="310" spans="2:57" s="30" customFormat="1" ht="15" customHeight="1" x14ac:dyDescent="0.2">
      <c r="B310" s="166" t="s">
        <v>520</v>
      </c>
      <c r="C310" s="150"/>
      <c r="D310" s="81" t="str">
        <f t="shared" ref="D310:D311" si="2">IF(ISBLANK(C310),"%","")</f>
        <v>%</v>
      </c>
      <c r="E310" s="33"/>
      <c r="F310" s="33"/>
      <c r="G310" s="33"/>
      <c r="H310" s="81"/>
      <c r="J310" s="32" t="s">
        <v>508</v>
      </c>
      <c r="K310" s="92" t="str">
        <f>IF(ISNUMBER(L310),L310,"")</f>
        <v/>
      </c>
      <c r="L310" s="181"/>
      <c r="M310" s="40" t="s">
        <v>248</v>
      </c>
      <c r="N310" s="40"/>
      <c r="O310" s="259"/>
      <c r="Q310" s="34"/>
      <c r="R310" s="236" t="str">
        <f>IF(AND(ISNUMBER(K310),ISNUMBER(C310)),-K310*C310*C309,"")</f>
        <v/>
      </c>
      <c r="S310" s="98" t="s">
        <v>160</v>
      </c>
      <c r="T310" s="225" t="s">
        <v>348</v>
      </c>
      <c r="U310" s="43"/>
      <c r="V310" s="43"/>
      <c r="W310" s="43"/>
      <c r="X310" s="43"/>
      <c r="Y310" s="43"/>
      <c r="Z310" s="43"/>
      <c r="AA310" s="43"/>
      <c r="AB310" s="43"/>
      <c r="AC310" s="43"/>
      <c r="AD310" s="43"/>
      <c r="AE310" s="35"/>
      <c r="AF310" s="35"/>
      <c r="AG310" s="35"/>
      <c r="AH310" s="35"/>
      <c r="AI310" s="35"/>
      <c r="AJ310" s="35"/>
      <c r="AK310" s="35"/>
      <c r="AL310" s="35"/>
      <c r="AM310" s="35"/>
      <c r="AN310" s="36"/>
      <c r="AO310" s="36"/>
      <c r="AP310" s="36"/>
      <c r="AQ310" s="36"/>
      <c r="AR310" s="36"/>
      <c r="AS310" s="36"/>
      <c r="AT310" s="36"/>
      <c r="AU310" s="36"/>
      <c r="AV310" s="36"/>
      <c r="AW310" s="36"/>
      <c r="AX310" s="36"/>
      <c r="AY310" s="36"/>
      <c r="AZ310" s="36"/>
      <c r="BA310" s="36"/>
      <c r="BB310" s="36"/>
      <c r="BC310" s="36"/>
      <c r="BD310" s="36"/>
      <c r="BE310" s="36"/>
    </row>
    <row r="311" spans="2:57" s="30" customFormat="1" ht="15" customHeight="1" x14ac:dyDescent="0.2">
      <c r="B311" s="166" t="s">
        <v>519</v>
      </c>
      <c r="C311" s="150"/>
      <c r="D311" s="81" t="str">
        <f t="shared" si="2"/>
        <v>%</v>
      </c>
      <c r="E311" s="33"/>
      <c r="F311" s="33"/>
      <c r="G311" s="33"/>
      <c r="H311" s="81"/>
      <c r="J311" s="32" t="s">
        <v>512</v>
      </c>
      <c r="K311" s="92" t="str">
        <f>IF(ISNUMBER(L311),L311,"")</f>
        <v/>
      </c>
      <c r="L311" s="181"/>
      <c r="M311" s="40" t="s">
        <v>248</v>
      </c>
      <c r="N311" s="40"/>
      <c r="O311" s="259"/>
      <c r="Q311" s="34"/>
      <c r="R311" s="236" t="str">
        <f>IF(AND(ISNUMBER(K311),ISNUMBER(C311)),-K311*C311*C309,"")</f>
        <v/>
      </c>
      <c r="S311" s="98" t="s">
        <v>160</v>
      </c>
      <c r="T311" s="225" t="s">
        <v>348</v>
      </c>
      <c r="U311" s="43"/>
      <c r="V311" s="43"/>
      <c r="W311" s="43"/>
      <c r="X311" s="43"/>
      <c r="Y311" s="43"/>
      <c r="Z311" s="43"/>
      <c r="AA311" s="43"/>
      <c r="AB311" s="43"/>
      <c r="AC311" s="43"/>
      <c r="AD311" s="43"/>
      <c r="AE311" s="35"/>
      <c r="AF311" s="35"/>
      <c r="AG311" s="35"/>
      <c r="AH311" s="35"/>
      <c r="AI311" s="35"/>
      <c r="AJ311" s="35"/>
      <c r="AK311" s="35"/>
      <c r="AL311" s="35"/>
      <c r="AM311" s="35"/>
      <c r="AN311" s="36"/>
      <c r="AO311" s="36"/>
      <c r="AP311" s="36"/>
      <c r="AQ311" s="36"/>
      <c r="AR311" s="36"/>
      <c r="AS311" s="36"/>
      <c r="AT311" s="36"/>
      <c r="AU311" s="36"/>
      <c r="AV311" s="36"/>
      <c r="AW311" s="36"/>
      <c r="AX311" s="36"/>
      <c r="AY311" s="36"/>
      <c r="AZ311" s="36"/>
      <c r="BA311" s="36"/>
      <c r="BB311" s="36"/>
      <c r="BC311" s="36"/>
      <c r="BD311" s="36"/>
      <c r="BE311" s="36"/>
    </row>
    <row r="312" spans="2:57" s="30" customFormat="1" ht="15" customHeight="1" x14ac:dyDescent="0.2">
      <c r="B312" s="132" t="s">
        <v>507</v>
      </c>
      <c r="C312" s="64"/>
      <c r="D312" s="81" t="s">
        <v>52</v>
      </c>
      <c r="G312" s="33"/>
      <c r="H312" s="81"/>
      <c r="J312" s="32" t="s">
        <v>347</v>
      </c>
      <c r="K312" s="134">
        <f>IF(ISNUMBER(L312),L312,Muut!$F$31)</f>
        <v>33.857142857142854</v>
      </c>
      <c r="L312" s="61"/>
      <c r="M312" s="40" t="s">
        <v>248</v>
      </c>
      <c r="N312" s="40"/>
      <c r="O312" s="259"/>
      <c r="Q312" s="34"/>
      <c r="R312" s="236" t="str">
        <f>IF(AND(ISNUMBER(K312),ISNUMBER(C312)),K312*C312,"")</f>
        <v/>
      </c>
      <c r="S312" s="98" t="s">
        <v>160</v>
      </c>
      <c r="T312" s="43"/>
      <c r="U312" s="43"/>
      <c r="V312" s="43"/>
      <c r="W312" s="43"/>
      <c r="X312" s="43"/>
      <c r="Y312" s="43"/>
      <c r="Z312" s="43"/>
      <c r="AA312" s="43"/>
      <c r="AB312" s="43"/>
      <c r="AC312" s="43"/>
      <c r="AD312" s="43"/>
      <c r="AE312" s="35"/>
      <c r="AF312" s="35"/>
      <c r="AG312" s="35"/>
      <c r="AH312" s="35"/>
      <c r="AI312" s="35"/>
      <c r="AJ312" s="35"/>
      <c r="AK312" s="35"/>
      <c r="AL312" s="35"/>
      <c r="AM312" s="35"/>
      <c r="AN312" s="36"/>
      <c r="AO312" s="36"/>
      <c r="AP312" s="36"/>
      <c r="AQ312" s="36"/>
      <c r="AR312" s="36"/>
      <c r="AS312" s="36"/>
      <c r="AT312" s="36"/>
      <c r="AU312" s="36"/>
      <c r="AV312" s="36"/>
      <c r="AW312" s="36"/>
      <c r="AX312" s="36"/>
      <c r="AY312" s="36"/>
      <c r="AZ312" s="36"/>
      <c r="BA312" s="36"/>
      <c r="BB312" s="36"/>
      <c r="BC312" s="36"/>
      <c r="BD312" s="36"/>
      <c r="BE312" s="36"/>
    </row>
    <row r="313" spans="2:57" s="30" customFormat="1" ht="15" customHeight="1" x14ac:dyDescent="0.2">
      <c r="B313" s="166" t="s">
        <v>520</v>
      </c>
      <c r="C313" s="150"/>
      <c r="D313" s="81" t="str">
        <f t="shared" ref="D313:D314" si="3">IF(ISBLANK(C313),"%","")</f>
        <v>%</v>
      </c>
      <c r="E313" s="33"/>
      <c r="F313" s="33"/>
      <c r="G313" s="33"/>
      <c r="H313" s="81"/>
      <c r="J313" s="32" t="s">
        <v>508</v>
      </c>
      <c r="K313" s="92" t="str">
        <f>IF(ISNUMBER(L313),L313,"")</f>
        <v/>
      </c>
      <c r="L313" s="181"/>
      <c r="M313" s="40" t="s">
        <v>248</v>
      </c>
      <c r="N313" s="40"/>
      <c r="O313" s="259"/>
      <c r="Q313" s="34"/>
      <c r="R313" s="236" t="str">
        <f>IF(AND(ISNUMBER(K313),ISNUMBER(C313)),-K313*C313*C312,"")</f>
        <v/>
      </c>
      <c r="S313" s="98" t="s">
        <v>160</v>
      </c>
      <c r="T313" s="225" t="s">
        <v>348</v>
      </c>
      <c r="U313" s="43"/>
      <c r="V313" s="43"/>
      <c r="W313" s="43"/>
      <c r="X313" s="43"/>
      <c r="Y313" s="43"/>
      <c r="Z313" s="43"/>
      <c r="AA313" s="43"/>
      <c r="AB313" s="43"/>
      <c r="AC313" s="43"/>
      <c r="AD313" s="43"/>
      <c r="AE313" s="35"/>
      <c r="AF313" s="35"/>
      <c r="AG313" s="35"/>
      <c r="AH313" s="35"/>
      <c r="AI313" s="35"/>
      <c r="AJ313" s="35"/>
      <c r="AK313" s="35"/>
      <c r="AL313" s="35"/>
      <c r="AM313" s="35"/>
      <c r="AN313" s="36"/>
      <c r="AO313" s="36"/>
      <c r="AP313" s="36"/>
      <c r="AQ313" s="36"/>
      <c r="AR313" s="36"/>
      <c r="AS313" s="36"/>
      <c r="AT313" s="36"/>
      <c r="AU313" s="36"/>
      <c r="AV313" s="36"/>
      <c r="AW313" s="36"/>
      <c r="AX313" s="36"/>
      <c r="AY313" s="36"/>
      <c r="AZ313" s="36"/>
      <c r="BA313" s="36"/>
      <c r="BB313" s="36"/>
      <c r="BC313" s="36"/>
      <c r="BD313" s="36"/>
      <c r="BE313" s="36"/>
    </row>
    <row r="314" spans="2:57" s="30" customFormat="1" ht="15" customHeight="1" x14ac:dyDescent="0.2">
      <c r="B314" s="166" t="s">
        <v>519</v>
      </c>
      <c r="C314" s="150"/>
      <c r="D314" s="81" t="str">
        <f t="shared" si="3"/>
        <v>%</v>
      </c>
      <c r="E314" s="33"/>
      <c r="F314" s="33"/>
      <c r="G314" s="33"/>
      <c r="H314" s="81"/>
      <c r="J314" s="32" t="s">
        <v>512</v>
      </c>
      <c r="K314" s="92" t="str">
        <f>IF(ISNUMBER(L314),L314,"")</f>
        <v/>
      </c>
      <c r="L314" s="181"/>
      <c r="M314" s="40" t="s">
        <v>248</v>
      </c>
      <c r="N314" s="40"/>
      <c r="O314" s="259"/>
      <c r="Q314" s="34"/>
      <c r="R314" s="236" t="str">
        <f>IF(AND(ISNUMBER(K314),ISNUMBER(C314)),-K314*C314*C312,"")</f>
        <v/>
      </c>
      <c r="S314" s="98" t="s">
        <v>160</v>
      </c>
      <c r="T314" s="225" t="s">
        <v>348</v>
      </c>
      <c r="U314" s="43"/>
      <c r="V314" s="43"/>
      <c r="W314" s="43"/>
      <c r="X314" s="43"/>
      <c r="Y314" s="43"/>
      <c r="Z314" s="43"/>
      <c r="AA314" s="43"/>
      <c r="AB314" s="43"/>
      <c r="AC314" s="43"/>
      <c r="AD314" s="43"/>
      <c r="AE314" s="35"/>
      <c r="AF314" s="35"/>
      <c r="AG314" s="35"/>
      <c r="AH314" s="35"/>
      <c r="AI314" s="35"/>
      <c r="AJ314" s="35"/>
      <c r="AK314" s="35"/>
      <c r="AL314" s="35"/>
      <c r="AM314" s="35"/>
      <c r="AN314" s="36"/>
      <c r="AO314" s="36"/>
      <c r="AP314" s="36"/>
      <c r="AQ314" s="36"/>
      <c r="AR314" s="36"/>
      <c r="AS314" s="36"/>
      <c r="AT314" s="36"/>
      <c r="AU314" s="36"/>
      <c r="AV314" s="36"/>
      <c r="AW314" s="36"/>
      <c r="AX314" s="36"/>
      <c r="AY314" s="36"/>
      <c r="AZ314" s="36"/>
      <c r="BA314" s="36"/>
      <c r="BB314" s="36"/>
      <c r="BC314" s="36"/>
      <c r="BD314" s="36"/>
      <c r="BE314" s="36"/>
    </row>
    <row r="315" spans="2:57" s="30" customFormat="1" ht="15" x14ac:dyDescent="0.2">
      <c r="C315" s="33"/>
      <c r="D315" s="81"/>
      <c r="G315" s="33"/>
      <c r="H315" s="81"/>
      <c r="J315" s="32"/>
      <c r="K315" s="33"/>
      <c r="L315" s="33"/>
      <c r="M315" s="81"/>
      <c r="N315" s="81"/>
      <c r="O315" s="96"/>
      <c r="Q315" s="34"/>
      <c r="R315" s="43"/>
      <c r="S315" s="35"/>
      <c r="T315" s="43"/>
      <c r="U315" s="43"/>
      <c r="V315" s="43"/>
      <c r="W315" s="43"/>
      <c r="X315" s="43"/>
      <c r="Y315" s="43"/>
      <c r="Z315" s="43"/>
      <c r="AA315" s="43"/>
      <c r="AB315" s="43"/>
      <c r="AC315" s="43"/>
      <c r="AD315" s="43"/>
      <c r="AE315" s="35"/>
      <c r="AF315" s="35"/>
      <c r="AG315" s="35"/>
      <c r="AH315" s="35"/>
      <c r="AI315" s="35"/>
      <c r="AJ315" s="35"/>
      <c r="AK315" s="35"/>
      <c r="AL315" s="35"/>
      <c r="AM315" s="35"/>
      <c r="AN315" s="36"/>
      <c r="AO315" s="36"/>
      <c r="AP315" s="36"/>
      <c r="AQ315" s="36"/>
      <c r="AR315" s="36"/>
      <c r="AS315" s="36"/>
      <c r="AT315" s="36"/>
      <c r="AU315" s="36"/>
      <c r="AV315" s="36"/>
      <c r="AW315" s="36"/>
      <c r="AX315" s="36"/>
      <c r="AY315" s="36"/>
      <c r="AZ315" s="36"/>
      <c r="BA315" s="36"/>
      <c r="BB315" s="36"/>
      <c r="BC315" s="36"/>
      <c r="BD315" s="36"/>
      <c r="BE315" s="36"/>
    </row>
    <row r="316" spans="2:57" s="30" customFormat="1" ht="15.75" x14ac:dyDescent="0.2">
      <c r="B316" s="8" t="s">
        <v>11</v>
      </c>
      <c r="C316" s="33"/>
      <c r="D316" s="81"/>
      <c r="G316" s="33"/>
      <c r="H316" s="81"/>
      <c r="J316" s="32"/>
      <c r="K316" s="37"/>
      <c r="L316" s="37"/>
      <c r="M316" s="81"/>
      <c r="N316" s="81"/>
      <c r="O316" s="96"/>
      <c r="Q316" s="34"/>
      <c r="R316" s="43"/>
      <c r="S316" s="35"/>
      <c r="T316" s="43"/>
      <c r="U316" s="43"/>
      <c r="V316" s="43"/>
      <c r="W316" s="43"/>
      <c r="X316" s="43"/>
      <c r="Y316" s="43"/>
      <c r="Z316" s="43"/>
      <c r="AA316" s="43"/>
      <c r="AB316" s="43"/>
      <c r="AC316" s="43"/>
      <c r="AD316" s="43"/>
      <c r="AE316" s="35"/>
      <c r="AF316" s="35"/>
      <c r="AG316" s="35"/>
      <c r="AH316" s="35"/>
      <c r="AI316" s="35"/>
      <c r="AJ316" s="35"/>
      <c r="AK316" s="35"/>
      <c r="AL316" s="35"/>
      <c r="AM316" s="35"/>
      <c r="AN316" s="36"/>
      <c r="AO316" s="36"/>
      <c r="AP316" s="36"/>
      <c r="AQ316" s="36"/>
      <c r="AR316" s="36"/>
      <c r="AS316" s="36"/>
      <c r="AT316" s="36"/>
      <c r="AU316" s="36"/>
      <c r="AV316" s="36"/>
      <c r="AW316" s="36"/>
      <c r="AX316" s="36"/>
      <c r="AY316" s="36"/>
      <c r="AZ316" s="36"/>
      <c r="BA316" s="36"/>
      <c r="BB316" s="36"/>
      <c r="BC316" s="36"/>
      <c r="BD316" s="36"/>
      <c r="BE316" s="36"/>
    </row>
    <row r="317" spans="2:57" s="30" customFormat="1" ht="15.75" x14ac:dyDescent="0.2">
      <c r="B317" s="8"/>
      <c r="C317" s="33"/>
      <c r="D317" s="81"/>
      <c r="G317" s="33"/>
      <c r="H317" s="81"/>
      <c r="J317" s="32"/>
      <c r="K317" s="37" t="s">
        <v>297</v>
      </c>
      <c r="L317" s="37" t="s">
        <v>185</v>
      </c>
      <c r="M317" s="81"/>
      <c r="N317" s="81"/>
      <c r="O317" s="96"/>
      <c r="Q317" s="34"/>
      <c r="R317" s="43" t="s">
        <v>318</v>
      </c>
      <c r="S317" s="35"/>
      <c r="T317" s="43"/>
      <c r="U317" s="43"/>
      <c r="V317" s="43"/>
      <c r="W317" s="43"/>
      <c r="X317" s="43"/>
      <c r="Y317" s="43"/>
      <c r="Z317" s="43"/>
      <c r="AA317" s="43"/>
      <c r="AB317" s="43"/>
      <c r="AC317" s="43"/>
      <c r="AD317" s="43"/>
      <c r="AE317" s="35"/>
      <c r="AF317" s="35"/>
      <c r="AG317" s="35"/>
      <c r="AH317" s="35"/>
      <c r="AI317" s="35"/>
      <c r="AJ317" s="35"/>
      <c r="AK317" s="35"/>
      <c r="AL317" s="35"/>
      <c r="AM317" s="35"/>
      <c r="AN317" s="36"/>
      <c r="AO317" s="36"/>
      <c r="AP317" s="36"/>
      <c r="AQ317" s="36"/>
      <c r="AR317" s="36"/>
      <c r="AS317" s="36"/>
      <c r="AT317" s="36"/>
      <c r="AU317" s="36"/>
      <c r="AV317" s="36"/>
      <c r="AW317" s="36"/>
      <c r="AX317" s="36"/>
      <c r="AY317" s="36"/>
      <c r="AZ317" s="36"/>
      <c r="BA317" s="36"/>
      <c r="BB317" s="36"/>
      <c r="BC317" s="36"/>
      <c r="BD317" s="36"/>
      <c r="BE317" s="36"/>
    </row>
    <row r="318" spans="2:57" s="30" customFormat="1" ht="30" x14ac:dyDescent="0.2">
      <c r="B318" s="76" t="s">
        <v>466</v>
      </c>
      <c r="C318" s="156"/>
      <c r="D318" s="81" t="s">
        <v>163</v>
      </c>
      <c r="G318" s="33"/>
      <c r="H318" s="81"/>
      <c r="J318" s="32" t="s">
        <v>513</v>
      </c>
      <c r="K318" s="92">
        <f>IF(ISNUMBER(L318),L318,Muut!$F$29*IF(OR(C319=Pudotusvalikot!$V$3,C319=Pudotusvalikot!$V$4),Muut!$E$40,IF(C319=Pudotusvalikot!$V$5,Muut!$E$41,IF(C319=Pudotusvalikot!$V$6,Muut!$E$42,Muut!$E$43))))</f>
        <v>0.22753333333333334</v>
      </c>
      <c r="L318" s="61"/>
      <c r="M318" s="40" t="s">
        <v>207</v>
      </c>
      <c r="N318" s="40"/>
      <c r="O318" s="259"/>
      <c r="Q318" s="34"/>
      <c r="R318" s="236" t="str">
        <f>IF(AND(ISNUMBER(K318),ISNUMBER(C318)),K318*C318,"")</f>
        <v/>
      </c>
      <c r="S318" s="98" t="s">
        <v>160</v>
      </c>
      <c r="T318" s="216"/>
      <c r="U318" s="216"/>
      <c r="V318" s="216"/>
      <c r="W318" s="43"/>
      <c r="X318" s="43"/>
      <c r="Y318" s="43"/>
      <c r="Z318" s="43"/>
      <c r="AA318" s="43"/>
      <c r="AB318" s="43"/>
      <c r="AC318" s="43"/>
      <c r="AD318" s="43"/>
      <c r="AE318" s="35"/>
      <c r="AF318" s="35"/>
      <c r="AG318" s="35"/>
      <c r="AH318" s="35"/>
      <c r="AI318" s="35"/>
      <c r="AJ318" s="35"/>
      <c r="AK318" s="35"/>
      <c r="AL318" s="35"/>
      <c r="AM318" s="35"/>
      <c r="AN318" s="36"/>
      <c r="AO318" s="36"/>
      <c r="AP318" s="36"/>
      <c r="AQ318" s="36"/>
      <c r="AR318" s="36"/>
      <c r="AS318" s="36"/>
      <c r="AT318" s="36"/>
      <c r="AU318" s="36"/>
      <c r="AV318" s="36"/>
      <c r="AW318" s="36"/>
      <c r="AX318" s="36"/>
      <c r="AY318" s="36"/>
      <c r="AZ318" s="36"/>
      <c r="BA318" s="36"/>
      <c r="BB318" s="36"/>
      <c r="BC318" s="36"/>
      <c r="BD318" s="36"/>
      <c r="BE318" s="36"/>
    </row>
    <row r="319" spans="2:57" s="30" customFormat="1" ht="15" x14ac:dyDescent="0.2">
      <c r="B319" s="166" t="s">
        <v>460</v>
      </c>
      <c r="C319" s="156" t="s">
        <v>223</v>
      </c>
      <c r="D319" s="33"/>
      <c r="E319" s="33"/>
      <c r="F319" s="33"/>
      <c r="G319" s="33"/>
      <c r="H319" s="57"/>
      <c r="J319" s="169"/>
      <c r="K319" s="169"/>
      <c r="L319" s="169"/>
      <c r="M319" s="40"/>
      <c r="N319" s="40"/>
      <c r="O319" s="259"/>
      <c r="Q319" s="45"/>
      <c r="R319" s="216"/>
      <c r="S319" s="98"/>
      <c r="T319" s="43"/>
      <c r="U319" s="43"/>
      <c r="V319" s="215"/>
      <c r="W319" s="215"/>
      <c r="X319" s="216"/>
      <c r="Y319" s="43"/>
      <c r="Z319" s="216"/>
      <c r="AA319" s="217"/>
      <c r="AB319" s="216"/>
      <c r="AC319" s="216"/>
      <c r="AD319" s="216"/>
      <c r="AE319" s="59"/>
      <c r="AF319" s="178"/>
      <c r="AG319" s="59"/>
      <c r="AH319" s="35"/>
      <c r="AI319" s="35"/>
      <c r="AJ319" s="35"/>
      <c r="AK319" s="104"/>
      <c r="AL319" s="35"/>
      <c r="AM319" s="35"/>
      <c r="AN319" s="36"/>
      <c r="AO319" s="36"/>
      <c r="AP319" s="36"/>
      <c r="AQ319" s="36"/>
      <c r="AR319" s="36"/>
      <c r="AS319" s="36"/>
      <c r="AT319" s="36"/>
      <c r="AU319" s="36"/>
      <c r="AV319" s="36"/>
      <c r="AW319" s="36"/>
      <c r="AX319" s="36"/>
      <c r="AY319" s="36"/>
      <c r="AZ319" s="36"/>
      <c r="BA319" s="36"/>
      <c r="BB319" s="36"/>
      <c r="BC319" s="36"/>
      <c r="BD319" s="36"/>
      <c r="BE319" s="36"/>
    </row>
    <row r="320" spans="2:57" s="30" customFormat="1" ht="45" x14ac:dyDescent="0.2">
      <c r="B320" s="76" t="s">
        <v>544</v>
      </c>
      <c r="C320" s="156"/>
      <c r="D320" s="81" t="s">
        <v>163</v>
      </c>
      <c r="G320" s="33"/>
      <c r="H320" s="81"/>
      <c r="J320" s="32" t="s">
        <v>471</v>
      </c>
      <c r="K320" s="134">
        <f>IF(ISNUMBER(L320),L320,Muut!$F$30)</f>
        <v>9.4500000000000011</v>
      </c>
      <c r="L320" s="181"/>
      <c r="M320" s="40" t="s">
        <v>207</v>
      </c>
      <c r="N320" s="40"/>
      <c r="O320" s="259"/>
      <c r="Q320" s="34"/>
      <c r="R320" s="236" t="str">
        <f>IF(AND(ISNUMBER(K320),ISNUMBER(C320)),K320*C320,"")</f>
        <v/>
      </c>
      <c r="S320" s="98" t="s">
        <v>160</v>
      </c>
      <c r="T320" s="43"/>
      <c r="U320" s="43"/>
      <c r="V320" s="43"/>
      <c r="W320" s="43"/>
      <c r="X320" s="43"/>
      <c r="Y320" s="43"/>
      <c r="Z320" s="43"/>
      <c r="AA320" s="43"/>
      <c r="AB320" s="43"/>
      <c r="AC320" s="43"/>
      <c r="AD320" s="43"/>
      <c r="AE320" s="35"/>
      <c r="AF320" s="35"/>
      <c r="AG320" s="35"/>
      <c r="AH320" s="35"/>
      <c r="AI320" s="35"/>
      <c r="AJ320" s="35"/>
      <c r="AK320" s="35"/>
      <c r="AL320" s="35"/>
      <c r="AM320" s="35"/>
      <c r="AN320" s="36"/>
      <c r="AO320" s="36"/>
      <c r="AP320" s="36"/>
      <c r="AQ320" s="36"/>
      <c r="AR320" s="36"/>
      <c r="AS320" s="36"/>
      <c r="AT320" s="36"/>
      <c r="AU320" s="36"/>
      <c r="AV320" s="36"/>
      <c r="AW320" s="36"/>
      <c r="AX320" s="36"/>
      <c r="AY320" s="36"/>
      <c r="AZ320" s="36"/>
      <c r="BA320" s="36"/>
      <c r="BB320" s="36"/>
      <c r="BC320" s="36"/>
      <c r="BD320" s="36"/>
      <c r="BE320" s="36"/>
    </row>
    <row r="321" spans="2:59" s="30" customFormat="1" ht="45" x14ac:dyDescent="0.2">
      <c r="B321" s="166" t="s">
        <v>520</v>
      </c>
      <c r="C321" s="150"/>
      <c r="D321" s="81" t="str">
        <f>IF(ISBLANK(C321),"%","")</f>
        <v>%</v>
      </c>
      <c r="E321" s="33"/>
      <c r="F321" s="33"/>
      <c r="G321" s="33"/>
      <c r="H321" s="81"/>
      <c r="J321" s="32" t="s">
        <v>472</v>
      </c>
      <c r="K321" s="108">
        <f>IF(ISNUMBER(L321),L321,Muut!$F$32)</f>
        <v>9.4500000000000011</v>
      </c>
      <c r="L321" s="181"/>
      <c r="M321" s="40" t="s">
        <v>207</v>
      </c>
      <c r="N321" s="40"/>
      <c r="O321" s="259"/>
      <c r="Q321" s="34"/>
      <c r="R321" s="236" t="str">
        <f>IF(AND(ISNUMBER(K321),ISNUMBER(C321)),-K321*C321*C320,"")</f>
        <v/>
      </c>
      <c r="S321" s="98" t="s">
        <v>160</v>
      </c>
      <c r="T321" s="226" t="s">
        <v>473</v>
      </c>
      <c r="U321" s="43"/>
      <c r="V321" s="43"/>
      <c r="W321" s="43"/>
      <c r="X321" s="43"/>
      <c r="Y321" s="43"/>
      <c r="Z321" s="43"/>
      <c r="AA321" s="43"/>
      <c r="AB321" s="43"/>
      <c r="AC321" s="43"/>
      <c r="AD321" s="43"/>
      <c r="AE321" s="35"/>
      <c r="AF321" s="35"/>
      <c r="AG321" s="35"/>
      <c r="AH321" s="35"/>
      <c r="AI321" s="35"/>
      <c r="AJ321" s="35"/>
      <c r="AK321" s="35"/>
      <c r="AL321" s="35"/>
      <c r="AM321" s="35"/>
      <c r="AN321" s="36"/>
      <c r="AO321" s="36"/>
      <c r="AP321" s="36"/>
      <c r="AQ321" s="36"/>
      <c r="AR321" s="36"/>
      <c r="AS321" s="36"/>
      <c r="AT321" s="36"/>
      <c r="AU321" s="36"/>
      <c r="AV321" s="36"/>
      <c r="AW321" s="36"/>
      <c r="AX321" s="36"/>
      <c r="AY321" s="36"/>
      <c r="AZ321" s="36"/>
      <c r="BA321" s="36"/>
      <c r="BB321" s="36"/>
      <c r="BC321" s="36"/>
      <c r="BD321" s="36"/>
      <c r="BE321" s="36"/>
    </row>
    <row r="322" spans="2:59" s="30" customFormat="1" ht="15" x14ac:dyDescent="0.2">
      <c r="B322" s="73"/>
      <c r="C322" s="33"/>
      <c r="D322" s="81"/>
      <c r="G322" s="33"/>
      <c r="H322" s="81"/>
      <c r="J322" s="32"/>
      <c r="O322" s="253"/>
      <c r="P322" s="67"/>
      <c r="Q322" s="104"/>
      <c r="R322" s="237"/>
      <c r="S322" s="104"/>
      <c r="T322" s="170"/>
      <c r="U322" s="43"/>
      <c r="V322" s="43"/>
      <c r="W322" s="43"/>
      <c r="X322" s="43"/>
      <c r="Y322" s="43"/>
      <c r="Z322" s="43"/>
      <c r="AA322" s="43"/>
      <c r="AB322" s="43"/>
      <c r="AC322" s="43"/>
      <c r="AD322" s="43"/>
      <c r="AE322" s="35"/>
      <c r="AF322" s="35"/>
      <c r="AG322" s="35"/>
      <c r="AH322" s="35"/>
      <c r="AI322" s="35"/>
      <c r="AJ322" s="35"/>
      <c r="AK322" s="35"/>
      <c r="AL322" s="35"/>
      <c r="AM322" s="35"/>
      <c r="AN322" s="35"/>
      <c r="AO322" s="35"/>
      <c r="AP322" s="36"/>
      <c r="AQ322" s="36"/>
      <c r="AR322" s="36"/>
      <c r="AS322" s="36"/>
      <c r="AT322" s="36"/>
      <c r="AU322" s="36"/>
      <c r="AV322" s="36"/>
      <c r="AW322" s="36"/>
      <c r="AX322" s="36"/>
      <c r="AY322" s="36"/>
      <c r="AZ322" s="36"/>
      <c r="BA322" s="36"/>
      <c r="BB322" s="36"/>
      <c r="BC322" s="36"/>
      <c r="BD322" s="36"/>
      <c r="BE322" s="36"/>
      <c r="BF322" s="36"/>
      <c r="BG322" s="36"/>
    </row>
    <row r="323" spans="2:59" s="192" customFormat="1" ht="23.25" x14ac:dyDescent="0.2">
      <c r="B323" s="193" t="s">
        <v>592</v>
      </c>
      <c r="C323" s="194"/>
      <c r="D323" s="195"/>
      <c r="G323" s="194"/>
      <c r="H323" s="195"/>
      <c r="J323" s="196"/>
      <c r="O323" s="264"/>
      <c r="P323" s="197"/>
      <c r="Q323" s="198"/>
      <c r="R323" s="231"/>
      <c r="S323" s="198"/>
      <c r="T323" s="209"/>
      <c r="U323" s="210"/>
      <c r="V323" s="210"/>
      <c r="W323" s="210"/>
      <c r="X323" s="210"/>
      <c r="Y323" s="210"/>
      <c r="Z323" s="210"/>
      <c r="AA323" s="210"/>
      <c r="AB323" s="210"/>
      <c r="AC323" s="210"/>
      <c r="AD323" s="210"/>
      <c r="AE323" s="201"/>
      <c r="AF323" s="201"/>
      <c r="AG323" s="201"/>
      <c r="AH323" s="201"/>
      <c r="AI323" s="201"/>
      <c r="AJ323" s="201"/>
      <c r="AK323" s="201"/>
      <c r="AL323" s="201"/>
      <c r="AM323" s="201"/>
      <c r="AN323" s="201"/>
      <c r="AO323" s="201"/>
      <c r="AP323" s="200"/>
      <c r="AQ323" s="200"/>
      <c r="AR323" s="200"/>
      <c r="AS323" s="200"/>
      <c r="AT323" s="200"/>
      <c r="AU323" s="200"/>
      <c r="AV323" s="200"/>
      <c r="AW323" s="200"/>
      <c r="AX323" s="200"/>
      <c r="AY323" s="200"/>
      <c r="AZ323" s="200"/>
      <c r="BA323" s="200"/>
      <c r="BB323" s="200"/>
      <c r="BC323" s="200"/>
      <c r="BD323" s="200"/>
      <c r="BE323" s="200"/>
      <c r="BF323" s="200"/>
      <c r="BG323" s="200"/>
    </row>
    <row r="324" spans="2:59" s="30" customFormat="1" ht="15" x14ac:dyDescent="0.2">
      <c r="C324" s="33"/>
      <c r="D324" s="81"/>
      <c r="G324" s="33"/>
      <c r="H324" s="81"/>
      <c r="P324" s="67"/>
      <c r="Q324" s="104"/>
      <c r="R324" s="237"/>
      <c r="S324" s="104"/>
      <c r="T324" s="170"/>
      <c r="U324" s="43"/>
      <c r="V324" s="43"/>
      <c r="W324" s="43"/>
      <c r="X324" s="43"/>
      <c r="Y324" s="43"/>
      <c r="Z324" s="43"/>
      <c r="AA324" s="43"/>
      <c r="AB324" s="43"/>
      <c r="AC324" s="43"/>
      <c r="AD324" s="43"/>
      <c r="AE324" s="35"/>
      <c r="AF324" s="35"/>
      <c r="AG324" s="35"/>
      <c r="AH324" s="35"/>
      <c r="AI324" s="35"/>
      <c r="AJ324" s="35"/>
      <c r="AK324" s="35"/>
      <c r="AL324" s="35"/>
      <c r="AM324" s="35"/>
      <c r="AN324" s="35"/>
      <c r="AO324" s="35"/>
      <c r="AP324" s="36"/>
      <c r="AQ324" s="36"/>
      <c r="AR324" s="36"/>
      <c r="AS324" s="36"/>
      <c r="AT324" s="36"/>
      <c r="AU324" s="36"/>
      <c r="AV324" s="36"/>
      <c r="AW324" s="36"/>
      <c r="AX324" s="36"/>
      <c r="AY324" s="36"/>
      <c r="AZ324" s="36"/>
      <c r="BA324" s="36"/>
      <c r="BB324" s="36"/>
      <c r="BC324" s="36"/>
      <c r="BD324" s="36"/>
      <c r="BE324" s="36"/>
      <c r="BF324" s="36"/>
      <c r="BG324" s="36"/>
    </row>
    <row r="325" spans="2:59" s="289" customFormat="1" ht="18" x14ac:dyDescent="0.2">
      <c r="B325" s="286" t="s">
        <v>568</v>
      </c>
      <c r="C325" s="287"/>
      <c r="D325" s="288"/>
      <c r="G325" s="287"/>
      <c r="H325" s="288"/>
      <c r="K325" s="287"/>
      <c r="L325" s="287"/>
      <c r="M325" s="288"/>
      <c r="N325" s="288"/>
      <c r="O325" s="291"/>
      <c r="P325" s="311"/>
      <c r="Q325" s="295"/>
      <c r="R325" s="289" t="str">
        <f>IF(OR(ISNUMBER(#REF!),ISNUMBER(#REF!),ISNUMBER(#REF!)),SUM(#REF!,#REF!,#REF!),"")</f>
        <v/>
      </c>
      <c r="S325" s="294"/>
      <c r="T325" s="294"/>
      <c r="U325" s="294"/>
      <c r="V325" s="294"/>
      <c r="W325" s="294"/>
      <c r="X325" s="294"/>
      <c r="Y325" s="294"/>
      <c r="Z325" s="294"/>
      <c r="AA325" s="294"/>
      <c r="AB325" s="294"/>
      <c r="AC325" s="294"/>
      <c r="AD325" s="294"/>
      <c r="AE325" s="294"/>
      <c r="AF325" s="294"/>
      <c r="AG325" s="294"/>
      <c r="AH325" s="294"/>
      <c r="AI325" s="294"/>
      <c r="AJ325" s="294"/>
      <c r="AK325" s="294"/>
      <c r="AL325" s="294"/>
      <c r="AM325" s="294"/>
      <c r="AN325" s="295"/>
      <c r="AO325" s="295"/>
      <c r="AP325" s="295"/>
      <c r="AQ325" s="295"/>
      <c r="AR325" s="295"/>
      <c r="AS325" s="295"/>
      <c r="AT325" s="295"/>
      <c r="AU325" s="295"/>
      <c r="AV325" s="295"/>
      <c r="AW325" s="295"/>
      <c r="AX325" s="295"/>
      <c r="AY325" s="295"/>
      <c r="AZ325" s="295"/>
      <c r="BA325" s="295"/>
      <c r="BB325" s="295"/>
      <c r="BC325" s="295"/>
      <c r="BD325" s="295"/>
      <c r="BE325" s="295"/>
    </row>
    <row r="326" spans="2:59" s="30" customFormat="1" ht="15.75" x14ac:dyDescent="0.2">
      <c r="B326" s="8"/>
      <c r="C326" s="33"/>
      <c r="D326" s="81"/>
      <c r="G326" s="33" t="s">
        <v>43</v>
      </c>
      <c r="H326" s="81"/>
      <c r="K326" s="37" t="s">
        <v>297</v>
      </c>
      <c r="L326" s="37" t="s">
        <v>185</v>
      </c>
      <c r="M326" s="81"/>
      <c r="N326" s="81"/>
      <c r="O326" s="249" t="s">
        <v>584</v>
      </c>
      <c r="Q326" s="34"/>
      <c r="R326" s="43" t="s">
        <v>318</v>
      </c>
      <c r="S326" s="35"/>
      <c r="T326" s="43" t="s">
        <v>238</v>
      </c>
      <c r="U326" s="43" t="s">
        <v>239</v>
      </c>
      <c r="V326" s="43" t="s">
        <v>240</v>
      </c>
      <c r="W326" s="43" t="s">
        <v>243</v>
      </c>
      <c r="X326" s="43" t="s">
        <v>241</v>
      </c>
      <c r="Y326" s="43" t="s">
        <v>242</v>
      </c>
      <c r="Z326" s="43" t="s">
        <v>244</v>
      </c>
      <c r="AA326" s="220"/>
      <c r="AB326" s="43"/>
      <c r="AC326" s="43"/>
      <c r="AD326" s="43"/>
      <c r="AE326" s="35"/>
      <c r="AF326" s="35"/>
      <c r="AG326" s="35"/>
      <c r="AH326" s="35"/>
      <c r="AI326" s="35"/>
      <c r="AJ326" s="35"/>
      <c r="AK326" s="35"/>
      <c r="AL326" s="35"/>
      <c r="AM326" s="35"/>
      <c r="AN326" s="36"/>
      <c r="AO326" s="36"/>
      <c r="AP326" s="36"/>
      <c r="AQ326" s="36"/>
      <c r="AR326" s="36"/>
      <c r="AS326" s="36"/>
      <c r="AT326" s="36"/>
      <c r="AU326" s="36"/>
      <c r="AV326" s="36"/>
      <c r="AW326" s="36"/>
      <c r="AX326" s="36"/>
      <c r="AY326" s="36"/>
      <c r="AZ326" s="36"/>
      <c r="BA326" s="36"/>
      <c r="BB326" s="36"/>
      <c r="BC326" s="36"/>
      <c r="BD326" s="36"/>
      <c r="BE326" s="36"/>
    </row>
    <row r="327" spans="2:59" s="30" customFormat="1" ht="15" x14ac:dyDescent="0.2">
      <c r="B327" s="52" t="s">
        <v>526</v>
      </c>
      <c r="C327" s="156"/>
      <c r="D327" s="81" t="s">
        <v>215</v>
      </c>
      <c r="G327" s="156"/>
      <c r="H327" s="81" t="s">
        <v>44</v>
      </c>
      <c r="J327" s="32" t="s">
        <v>514</v>
      </c>
      <c r="K327" s="108" t="str">
        <f>IFERROR(IF(ISNUMBER(L327),L327,VLOOKUP(C329,Kalusto!$C$100:$E$105,3,FALSE)),"--")</f>
        <v>--</v>
      </c>
      <c r="L327" s="61"/>
      <c r="M327" s="75" t="str">
        <f>IF(C329=Pudotusvalikot!$J$9,"kWh/100 km",IF(C329=Pudotusvalikot!$J$6,"kg/100 km","l/100 km"))</f>
        <v>l/100 km</v>
      </c>
      <c r="N327" s="75"/>
      <c r="O327" s="250"/>
      <c r="Q327" s="34"/>
      <c r="R327" s="236">
        <f>SUM(U327:Z327)</f>
        <v>0</v>
      </c>
      <c r="S327" s="98" t="s">
        <v>160</v>
      </c>
      <c r="T327" s="211">
        <f>IF(ISNUMBER(C328*C327*G327),C328*C327*G327,"")</f>
        <v>0</v>
      </c>
      <c r="U327" s="213">
        <f>IF(ISNUMBER(T327),IF(C329=Pudotusvalikot!$J$5,(Muut!$F$16+Muut!$F$19)*(T327*K327/100),0),"")</f>
        <v>0</v>
      </c>
      <c r="V327" s="213">
        <f>IF(ISNUMBER(T327),IF(C329=Pudotusvalikot!$J$4,(Muut!$F$15+Muut!$F$18)*(T327*K327/100),0),"")</f>
        <v>0</v>
      </c>
      <c r="W327" s="213">
        <f>IF(ISNUMBER(T327),IF(C329=Pudotusvalikot!$J$6,(Muut!$F$17+Muut!$F$20)*(T327*K327/100),0),"")</f>
        <v>0</v>
      </c>
      <c r="X327" s="213">
        <f>IF(ISNUMBER(T327),IF(C329=Pudotusvalikot!$J$7,((Muut!$F$16+Muut!$F$19)*(100%-Kalusto!$O$103)+(Muut!$F$15+Muut!$F$18)*Kalusto!$O$103)*(T327*K327/100),0),"")</f>
        <v>0</v>
      </c>
      <c r="Y327" s="224">
        <f>IF(ISNUMBER(T327),IF(C329=Pudotusvalikot!$J$8,((Kalusto!$K$104)*(100%-Kalusto!$O$104)+(Kalusto!$M$104)*Kalusto!$O$104)*(Muut!$F$14+Muut!$F$13)/100*T327/1000+((Kalusto!$G$104)*(100%-Kalusto!$O$104)+(Kalusto!$I$104)*Kalusto!$O$104)*(K327+Muut!$F$19)/100*T327,0),"")</f>
        <v>0</v>
      </c>
      <c r="Z327" s="224">
        <f>IF(ISNUMBER(T327),IF(C329=Pudotusvalikot!$J$9,Kalusto!$E$105*(K327+Muut!$F$13)/100*T327/1000,0),"")</f>
        <v>0</v>
      </c>
      <c r="AA327" s="220"/>
      <c r="AB327" s="43"/>
      <c r="AC327" s="43"/>
      <c r="AD327" s="43"/>
      <c r="AE327" s="35"/>
      <c r="AF327" s="35"/>
      <c r="AG327" s="35"/>
      <c r="AH327" s="35"/>
      <c r="AI327" s="35"/>
      <c r="AJ327" s="35"/>
      <c r="AK327" s="35"/>
      <c r="AL327" s="35"/>
      <c r="AM327" s="35"/>
      <c r="AN327" s="36"/>
      <c r="AO327" s="36"/>
      <c r="AP327" s="36"/>
      <c r="AQ327" s="36"/>
      <c r="AR327" s="36"/>
      <c r="AS327" s="36"/>
      <c r="AT327" s="36"/>
      <c r="AU327" s="36"/>
      <c r="AV327" s="36"/>
      <c r="AW327" s="36"/>
      <c r="AX327" s="36"/>
      <c r="AY327" s="36"/>
      <c r="AZ327" s="36"/>
      <c r="BA327" s="36"/>
      <c r="BB327" s="36"/>
      <c r="BC327" s="36"/>
      <c r="BD327" s="36"/>
      <c r="BE327" s="36"/>
    </row>
    <row r="328" spans="2:59" s="30" customFormat="1" ht="15" x14ac:dyDescent="0.2">
      <c r="B328" s="52" t="s">
        <v>525</v>
      </c>
      <c r="C328" s="157"/>
      <c r="D328" s="81" t="s">
        <v>5</v>
      </c>
      <c r="G328" s="33"/>
      <c r="H328" s="81"/>
      <c r="J328" s="32"/>
      <c r="K328" s="33"/>
      <c r="L328" s="33"/>
      <c r="M328" s="81"/>
      <c r="N328" s="81"/>
      <c r="O328" s="96"/>
      <c r="Q328" s="34"/>
      <c r="R328" s="102"/>
      <c r="S328" s="35"/>
      <c r="T328" s="43"/>
      <c r="U328" s="43"/>
      <c r="V328" s="43"/>
      <c r="W328" s="43"/>
      <c r="X328" s="43"/>
      <c r="Y328" s="43"/>
      <c r="Z328" s="43"/>
      <c r="AA328" s="43"/>
      <c r="AB328" s="43"/>
      <c r="AC328" s="43"/>
      <c r="AD328" s="43"/>
      <c r="AE328" s="35"/>
      <c r="AF328" s="35"/>
      <c r="AG328" s="35"/>
      <c r="AH328" s="35"/>
      <c r="AI328" s="35"/>
      <c r="AJ328" s="35"/>
      <c r="AK328" s="35"/>
      <c r="AL328" s="35"/>
      <c r="AM328" s="35"/>
      <c r="AN328" s="36"/>
      <c r="AO328" s="36"/>
      <c r="AP328" s="36"/>
      <c r="AQ328" s="36"/>
      <c r="AR328" s="36"/>
      <c r="AS328" s="36"/>
      <c r="AT328" s="36"/>
      <c r="AU328" s="36"/>
      <c r="AV328" s="36"/>
      <c r="AW328" s="36"/>
      <c r="AX328" s="36"/>
      <c r="AY328" s="36"/>
      <c r="AZ328" s="36"/>
      <c r="BA328" s="36"/>
      <c r="BB328" s="36"/>
      <c r="BC328" s="36"/>
      <c r="BD328" s="36"/>
      <c r="BE328" s="36"/>
    </row>
    <row r="329" spans="2:59" s="30" customFormat="1" ht="15" x14ac:dyDescent="0.2">
      <c r="B329" s="52" t="s">
        <v>524</v>
      </c>
      <c r="C329" s="474" t="s">
        <v>309</v>
      </c>
      <c r="D329" s="474"/>
      <c r="G329" s="33"/>
      <c r="H329" s="81"/>
      <c r="J329" s="32"/>
      <c r="K329" s="33"/>
      <c r="L329" s="33"/>
      <c r="M329" s="81"/>
      <c r="N329" s="81"/>
      <c r="O329" s="96"/>
      <c r="Q329" s="34"/>
      <c r="R329" s="102"/>
      <c r="S329" s="35"/>
      <c r="T329" s="43"/>
      <c r="U329" s="43"/>
      <c r="V329" s="43"/>
      <c r="W329" s="43"/>
      <c r="X329" s="43"/>
      <c r="Y329" s="43"/>
      <c r="Z329" s="43"/>
      <c r="AA329" s="43"/>
      <c r="AB329" s="43"/>
      <c r="AC329" s="43"/>
      <c r="AD329" s="43"/>
      <c r="AE329" s="35"/>
      <c r="AF329" s="35"/>
      <c r="AG329" s="35"/>
      <c r="AH329" s="35"/>
      <c r="AI329" s="35"/>
      <c r="AJ329" s="35"/>
      <c r="AK329" s="35"/>
      <c r="AL329" s="35"/>
      <c r="AM329" s="35"/>
      <c r="AN329" s="36"/>
      <c r="AO329" s="36"/>
      <c r="AP329" s="36"/>
      <c r="AQ329" s="36"/>
      <c r="AR329" s="36"/>
      <c r="AS329" s="36"/>
      <c r="AT329" s="36"/>
      <c r="AU329" s="36"/>
      <c r="AV329" s="36"/>
      <c r="AW329" s="36"/>
      <c r="AX329" s="36"/>
      <c r="AY329" s="36"/>
      <c r="AZ329" s="36"/>
      <c r="BA329" s="36"/>
      <c r="BB329" s="36"/>
      <c r="BC329" s="36"/>
      <c r="BD329" s="36"/>
      <c r="BE329" s="36"/>
    </row>
    <row r="330" spans="2:59" ht="13.9" customHeight="1" x14ac:dyDescent="0.2">
      <c r="T330" s="227"/>
    </row>
    <row r="331" spans="2:59" ht="13.9" hidden="1" customHeight="1" x14ac:dyDescent="0.2">
      <c r="T331" s="227"/>
    </row>
    <row r="332" spans="2:59" ht="13.9" hidden="1" customHeight="1" x14ac:dyDescent="0.2">
      <c r="T332" s="227"/>
    </row>
    <row r="333" spans="2:59" ht="13.9" hidden="1" customHeight="1" x14ac:dyDescent="0.2">
      <c r="T333" s="227"/>
    </row>
    <row r="334" spans="2:59" ht="13.9" hidden="1" customHeight="1" x14ac:dyDescent="0.2">
      <c r="R334" s="278"/>
      <c r="T334" s="227"/>
    </row>
    <row r="335" spans="2:59" ht="13.9" hidden="1" customHeight="1" x14ac:dyDescent="0.2">
      <c r="S335" s="22"/>
      <c r="T335" s="227"/>
    </row>
    <row r="336" spans="2:59" ht="13.9" hidden="1" customHeight="1" x14ac:dyDescent="0.2">
      <c r="S336" s="22"/>
      <c r="T336" s="227"/>
      <c r="Y336" s="229"/>
      <c r="Z336" s="277"/>
    </row>
    <row r="337" spans="19:26" ht="13.9" hidden="1" customHeight="1" x14ac:dyDescent="0.2">
      <c r="S337" s="207"/>
      <c r="Y337" s="229"/>
      <c r="Z337" s="277"/>
    </row>
    <row r="338" spans="19:26" ht="13.9" hidden="1" customHeight="1" x14ac:dyDescent="0.2">
      <c r="S338" s="246"/>
      <c r="Y338" s="229"/>
      <c r="Z338" s="277"/>
    </row>
    <row r="339" spans="19:26" ht="13.9" hidden="1" customHeight="1" x14ac:dyDescent="0.2">
      <c r="S339" s="246"/>
      <c r="Y339" s="229"/>
      <c r="Z339" s="277"/>
    </row>
    <row r="340" spans="19:26" ht="13.9" hidden="1" customHeight="1" x14ac:dyDescent="0.2">
      <c r="S340" s="207"/>
      <c r="Y340" s="229"/>
      <c r="Z340" s="277"/>
    </row>
    <row r="341" spans="19:26" ht="13.9" hidden="1" customHeight="1" x14ac:dyDescent="0.2">
      <c r="S341" s="246"/>
      <c r="Y341" s="229"/>
      <c r="Z341" s="277"/>
    </row>
    <row r="342" spans="19:26" ht="13.9" hidden="1" customHeight="1" x14ac:dyDescent="0.2">
      <c r="S342" s="246"/>
      <c r="Y342" s="229"/>
      <c r="Z342" s="277"/>
    </row>
    <row r="343" spans="19:26" ht="13.9" hidden="1" customHeight="1" x14ac:dyDescent="0.2">
      <c r="S343" s="22"/>
      <c r="T343" s="227"/>
      <c r="Y343" s="229"/>
      <c r="Z343" s="277"/>
    </row>
    <row r="344" spans="19:26" ht="13.9" hidden="1" customHeight="1" x14ac:dyDescent="0.2">
      <c r="S344" s="207"/>
      <c r="Y344" s="229"/>
      <c r="Z344" s="277"/>
    </row>
    <row r="345" spans="19:26" ht="13.9" hidden="1" customHeight="1" x14ac:dyDescent="0.2">
      <c r="S345" s="207"/>
      <c r="Y345" s="229"/>
      <c r="Z345" s="277"/>
    </row>
    <row r="346" spans="19:26" ht="13.9" hidden="1" customHeight="1" x14ac:dyDescent="0.2">
      <c r="S346" s="207"/>
      <c r="Y346" s="229"/>
      <c r="Z346" s="277"/>
    </row>
    <row r="347" spans="19:26" ht="13.9" hidden="1" customHeight="1" x14ac:dyDescent="0.2">
      <c r="S347" s="99"/>
      <c r="Y347" s="229"/>
      <c r="Z347" s="277"/>
    </row>
    <row r="348" spans="19:26" ht="13.9" hidden="1" customHeight="1" x14ac:dyDescent="0.2">
      <c r="S348" s="22"/>
      <c r="T348" s="227"/>
      <c r="Y348" s="229"/>
      <c r="Z348" s="277"/>
    </row>
    <row r="349" spans="19:26" ht="13.9" hidden="1" customHeight="1" x14ac:dyDescent="0.2">
      <c r="S349" s="22"/>
      <c r="T349" s="227"/>
      <c r="Y349" s="229"/>
      <c r="Z349" s="277"/>
    </row>
    <row r="350" spans="19:26" ht="13.9" hidden="1" customHeight="1" x14ac:dyDescent="0.2">
      <c r="S350" s="22"/>
      <c r="T350" s="227"/>
      <c r="Y350" s="229"/>
      <c r="Z350" s="277"/>
    </row>
    <row r="351" spans="19:26" ht="13.9" hidden="1" customHeight="1" x14ac:dyDescent="0.2">
      <c r="S351" s="207"/>
      <c r="Y351" s="229"/>
      <c r="Z351" s="277"/>
    </row>
    <row r="352" spans="19:26" ht="13.9" hidden="1" customHeight="1" x14ac:dyDescent="0.2">
      <c r="S352" s="207"/>
      <c r="Y352" s="229"/>
      <c r="Z352" s="277"/>
    </row>
    <row r="353" spans="19:26" ht="13.9" hidden="1" customHeight="1" x14ac:dyDescent="0.2">
      <c r="S353" s="22"/>
      <c r="T353" s="227"/>
      <c r="Y353" s="229"/>
      <c r="Z353" s="277"/>
    </row>
    <row r="354" spans="19:26" ht="13.9" hidden="1" customHeight="1" x14ac:dyDescent="0.2">
      <c r="S354" s="22"/>
      <c r="T354" s="227"/>
      <c r="Y354" s="229"/>
      <c r="Z354" s="277"/>
    </row>
    <row r="355" spans="19:26" ht="13.9" hidden="1" customHeight="1" x14ac:dyDescent="0.2">
      <c r="S355" s="207"/>
      <c r="Y355" s="229"/>
      <c r="Z355" s="277"/>
    </row>
    <row r="356" spans="19:26" ht="13.9" hidden="1" customHeight="1" x14ac:dyDescent="0.2">
      <c r="S356" s="207"/>
      <c r="Y356" s="229"/>
      <c r="Z356" s="277"/>
    </row>
    <row r="357" spans="19:26" ht="13.9" hidden="1" customHeight="1" x14ac:dyDescent="0.2">
      <c r="S357" s="22"/>
      <c r="T357" s="227"/>
      <c r="Y357" s="229"/>
      <c r="Z357" s="277"/>
    </row>
    <row r="358" spans="19:26" ht="13.9" hidden="1" customHeight="1" x14ac:dyDescent="0.2">
      <c r="S358" s="22"/>
      <c r="T358" s="227"/>
      <c r="Y358" s="229"/>
      <c r="Z358" s="277"/>
    </row>
    <row r="359" spans="19:26" ht="13.9" hidden="1" customHeight="1" x14ac:dyDescent="0.2">
      <c r="S359" s="22"/>
      <c r="Y359" s="229"/>
      <c r="Z359" s="277"/>
    </row>
    <row r="360" spans="19:26" ht="13.9" hidden="1" customHeight="1" x14ac:dyDescent="0.2">
      <c r="S360" s="22"/>
      <c r="Y360" s="229"/>
      <c r="Z360" s="277"/>
    </row>
    <row r="361" spans="19:26" ht="13.9" hidden="1" customHeight="1" x14ac:dyDescent="0.2">
      <c r="S361" s="99"/>
      <c r="Y361" s="229"/>
      <c r="Z361" s="277"/>
    </row>
    <row r="362" spans="19:26" ht="13.9" hidden="1" customHeight="1" x14ac:dyDescent="0.2">
      <c r="S362" s="22"/>
      <c r="Y362" s="229"/>
      <c r="Z362" s="277"/>
    </row>
    <row r="363" spans="19:26" ht="13.9" hidden="1" customHeight="1" x14ac:dyDescent="0.2">
      <c r="S363" s="207"/>
      <c r="Y363" s="229"/>
      <c r="Z363" s="277"/>
    </row>
    <row r="364" spans="19:26" ht="13.9" hidden="1" customHeight="1" x14ac:dyDescent="0.2">
      <c r="S364" s="207"/>
      <c r="Y364" s="229"/>
      <c r="Z364" s="277"/>
    </row>
    <row r="365" spans="19:26" ht="13.9" hidden="1" customHeight="1" x14ac:dyDescent="0.2">
      <c r="S365" s="207"/>
      <c r="Y365" s="229"/>
      <c r="Z365" s="277"/>
    </row>
    <row r="366" spans="19:26" ht="13.9" hidden="1" customHeight="1" x14ac:dyDescent="0.2">
      <c r="S366" s="22"/>
      <c r="Y366" s="229"/>
      <c r="Z366" s="277"/>
    </row>
    <row r="367" spans="19:26" ht="13.9" hidden="1" customHeight="1" x14ac:dyDescent="0.2">
      <c r="S367" s="22"/>
      <c r="Y367" s="229"/>
      <c r="Z367" s="277"/>
    </row>
    <row r="368" spans="19:26" ht="13.9" hidden="1" customHeight="1" x14ac:dyDescent="0.2">
      <c r="S368" s="22"/>
      <c r="Y368" s="229"/>
      <c r="Z368" s="277"/>
    </row>
    <row r="369" spans="19:26" ht="13.9" hidden="1" customHeight="1" x14ac:dyDescent="0.2">
      <c r="S369" s="207"/>
      <c r="Y369" s="229"/>
      <c r="Z369" s="277"/>
    </row>
    <row r="370" spans="19:26" ht="13.9" hidden="1" customHeight="1" x14ac:dyDescent="0.2">
      <c r="S370" s="22"/>
      <c r="Y370" s="229"/>
      <c r="Z370" s="277"/>
    </row>
    <row r="371" spans="19:26" ht="13.9" hidden="1" customHeight="1" x14ac:dyDescent="0.2">
      <c r="S371" s="207"/>
      <c r="Y371" s="229"/>
      <c r="Z371" s="277"/>
    </row>
    <row r="372" spans="19:26" ht="13.9" hidden="1" customHeight="1" x14ac:dyDescent="0.2">
      <c r="S372" s="22"/>
      <c r="Y372" s="229"/>
      <c r="Z372" s="277"/>
    </row>
    <row r="373" spans="19:26" ht="13.9" hidden="1" customHeight="1" x14ac:dyDescent="0.2">
      <c r="S373" s="22"/>
      <c r="Y373" s="229"/>
      <c r="Z373" s="277"/>
    </row>
    <row r="374" spans="19:26" ht="13.9" hidden="1" customHeight="1" x14ac:dyDescent="0.2">
      <c r="S374" s="99"/>
      <c r="Y374" s="229"/>
    </row>
    <row r="375" spans="19:26" ht="13.9" hidden="1" customHeight="1" x14ac:dyDescent="0.2">
      <c r="S375" s="99"/>
      <c r="X375" s="229"/>
      <c r="Y375" s="229"/>
    </row>
    <row r="376" spans="19:26" ht="13.9" hidden="1" customHeight="1" x14ac:dyDescent="0.2">
      <c r="S376" s="99"/>
    </row>
    <row r="377" spans="19:26" ht="13.9" hidden="1" customHeight="1" x14ac:dyDescent="0.2"/>
    <row r="378" spans="19:26" ht="13.9" hidden="1" customHeight="1" x14ac:dyDescent="0.2">
      <c r="S378" s="99"/>
      <c r="Y378" s="229"/>
    </row>
    <row r="379" spans="19:26" ht="13.9" hidden="1" customHeight="1" x14ac:dyDescent="0.2"/>
    <row r="380" spans="19:26" ht="13.9" hidden="1" customHeight="1" x14ac:dyDescent="0.2">
      <c r="S380" s="99"/>
      <c r="U380" s="229"/>
      <c r="V380" s="277"/>
    </row>
    <row r="381" spans="19:26" ht="13.9" hidden="1" customHeight="1" x14ac:dyDescent="0.2">
      <c r="S381" s="99"/>
      <c r="U381" s="229"/>
      <c r="V381" s="277"/>
    </row>
    <row r="382" spans="19:26" ht="13.9" hidden="1" customHeight="1" x14ac:dyDescent="0.2">
      <c r="S382" s="99"/>
      <c r="U382" s="229"/>
      <c r="V382" s="277"/>
    </row>
    <row r="383" spans="19:26" ht="13.9" hidden="1" customHeight="1" x14ac:dyDescent="0.2">
      <c r="S383" s="99"/>
      <c r="V383" s="277"/>
    </row>
    <row r="384" spans="19:26" ht="13.9" hidden="1" customHeight="1" x14ac:dyDescent="0.2">
      <c r="S384" s="99"/>
      <c r="U384" s="229"/>
      <c r="V384" s="277"/>
    </row>
    <row r="385" spans="19:22" ht="13.9" hidden="1" customHeight="1" x14ac:dyDescent="0.2">
      <c r="S385" s="99"/>
      <c r="U385" s="229"/>
      <c r="V385" s="277"/>
    </row>
    <row r="386" spans="19:22" ht="13.9" hidden="1" customHeight="1" x14ac:dyDescent="0.2">
      <c r="S386" s="99"/>
      <c r="U386" s="229"/>
      <c r="V386" s="277"/>
    </row>
    <row r="387" spans="19:22" ht="13.9" hidden="1" customHeight="1" x14ac:dyDescent="0.2"/>
    <row r="388" spans="19:22" ht="13.9" hidden="1" customHeight="1" x14ac:dyDescent="0.2"/>
    <row r="389" spans="19:22" ht="13.9" hidden="1" customHeight="1" x14ac:dyDescent="0.2"/>
    <row r="390" spans="19:22" ht="13.9" hidden="1" customHeight="1" x14ac:dyDescent="0.2"/>
    <row r="391" spans="19:22" ht="13.9" hidden="1" customHeight="1" x14ac:dyDescent="0.2"/>
    <row r="392" spans="19:22" ht="13.9" hidden="1" customHeight="1" x14ac:dyDescent="0.2"/>
    <row r="393" spans="19:22" ht="13.9" hidden="1" customHeight="1" x14ac:dyDescent="0.2"/>
    <row r="394" spans="19:22" ht="13.9" hidden="1" customHeight="1" x14ac:dyDescent="0.2"/>
    <row r="395" spans="19:22" ht="13.9" hidden="1" customHeight="1" x14ac:dyDescent="0.2"/>
    <row r="396" spans="19:22" ht="13.9" hidden="1" customHeight="1" x14ac:dyDescent="0.2"/>
    <row r="397" spans="19:22" ht="13.9" hidden="1" customHeight="1" x14ac:dyDescent="0.2"/>
    <row r="398" spans="19:22" ht="13.9" hidden="1" customHeight="1" x14ac:dyDescent="0.2"/>
    <row r="399" spans="19:22" ht="13.9" hidden="1" customHeight="1" x14ac:dyDescent="0.2"/>
    <row r="400" spans="19:22" ht="13.9" hidden="1" customHeight="1" x14ac:dyDescent="0.2"/>
    <row r="401" spans="18:26" ht="13.9" hidden="1" customHeight="1" x14ac:dyDescent="0.2"/>
    <row r="402" spans="18:26" ht="13.9" hidden="1" customHeight="1" x14ac:dyDescent="0.2"/>
    <row r="403" spans="18:26" ht="13.9" customHeight="1" x14ac:dyDescent="0.2">
      <c r="R403" s="361" t="s">
        <v>314</v>
      </c>
      <c r="T403" s="227"/>
    </row>
    <row r="404" spans="18:26" ht="13.9" customHeight="1" x14ac:dyDescent="0.2">
      <c r="S404" s="361" t="s">
        <v>586</v>
      </c>
      <c r="T404" s="227"/>
      <c r="Y404" s="228" t="s">
        <v>160</v>
      </c>
      <c r="Z404" s="228" t="s">
        <v>596</v>
      </c>
    </row>
    <row r="405" spans="18:26" ht="13.9" customHeight="1" x14ac:dyDescent="0.2">
      <c r="S405" s="279" t="str">
        <f>B8</f>
        <v>Käsittelyssä tarvittavien työkoneiden ja muun työmaakaluston kuljetus alueelle sekä niiden kuljetus alueelta pois käsittelyn päättyessä</v>
      </c>
      <c r="T405" s="280"/>
      <c r="U405" s="281"/>
      <c r="V405" s="281"/>
      <c r="W405" s="281" t="s">
        <v>662</v>
      </c>
      <c r="X405" s="281" t="s">
        <v>612</v>
      </c>
      <c r="Y405" s="282">
        <f>SUM(Y406,Y409)</f>
        <v>0</v>
      </c>
      <c r="Z405" s="283" t="str">
        <f t="shared" ref="Z405:Z437" si="4">IF(ISERROR(Y405/$Y$439),"--",Y405/$Y$439)</f>
        <v>--</v>
      </c>
    </row>
    <row r="406" spans="18:26" ht="13.9" customHeight="1" x14ac:dyDescent="0.2">
      <c r="S406" s="207" t="s">
        <v>569</v>
      </c>
      <c r="W406" s="228" t="s">
        <v>662</v>
      </c>
      <c r="X406" s="228" t="s">
        <v>316</v>
      </c>
      <c r="Y406" s="229">
        <f>SUM(Y407:Y408)</f>
        <v>0</v>
      </c>
      <c r="Z406" s="277" t="str">
        <f t="shared" si="4"/>
        <v>--</v>
      </c>
    </row>
    <row r="407" spans="18:26" ht="13.9" customHeight="1" x14ac:dyDescent="0.2">
      <c r="S407" s="246" t="s">
        <v>40</v>
      </c>
      <c r="W407" s="228" t="s">
        <v>40</v>
      </c>
      <c r="Y407" s="229">
        <f>SUM(AB11,AB16,AB21)</f>
        <v>0</v>
      </c>
      <c r="Z407" s="277" t="str">
        <f t="shared" si="4"/>
        <v>--</v>
      </c>
    </row>
    <row r="408" spans="18:26" ht="13.9" customHeight="1" x14ac:dyDescent="0.2">
      <c r="S408" s="246" t="s">
        <v>577</v>
      </c>
      <c r="W408" s="228" t="s">
        <v>40</v>
      </c>
      <c r="Y408" s="229">
        <f>SUM(AG21,AG16,AG11)</f>
        <v>0</v>
      </c>
      <c r="Z408" s="277" t="str">
        <f t="shared" si="4"/>
        <v>--</v>
      </c>
    </row>
    <row r="409" spans="18:26" ht="13.9" customHeight="1" x14ac:dyDescent="0.2">
      <c r="S409" s="207" t="s">
        <v>570</v>
      </c>
      <c r="W409" s="228" t="s">
        <v>662</v>
      </c>
      <c r="X409" s="228" t="s">
        <v>611</v>
      </c>
      <c r="Y409" s="229">
        <f>SUM(Y410:Y411)</f>
        <v>0</v>
      </c>
      <c r="Z409" s="277" t="str">
        <f t="shared" si="4"/>
        <v>--</v>
      </c>
    </row>
    <row r="410" spans="18:26" ht="13.9" customHeight="1" x14ac:dyDescent="0.2">
      <c r="S410" s="246" t="s">
        <v>40</v>
      </c>
      <c r="W410" s="228" t="s">
        <v>40</v>
      </c>
      <c r="Y410" s="229">
        <f>SUM(AB21,AB16,AB11)</f>
        <v>0</v>
      </c>
      <c r="Z410" s="277" t="str">
        <f t="shared" si="4"/>
        <v>--</v>
      </c>
    </row>
    <row r="411" spans="18:26" ht="13.9" customHeight="1" x14ac:dyDescent="0.2">
      <c r="S411" s="246" t="s">
        <v>577</v>
      </c>
      <c r="W411" s="228" t="s">
        <v>40</v>
      </c>
      <c r="Y411" s="229">
        <f>SUM(AG21,AG16,AG11)</f>
        <v>0</v>
      </c>
      <c r="Z411" s="277" t="str">
        <f t="shared" si="4"/>
        <v>--</v>
      </c>
    </row>
    <row r="412" spans="18:26" ht="13.9" customHeight="1" x14ac:dyDescent="0.2">
      <c r="S412" s="279" t="str">
        <f>B28</f>
        <v>Käsittelyä varten tehtävät puuston, asfalttipintojen  tai rakenteiden poisto</v>
      </c>
      <c r="T412" s="280"/>
      <c r="U412" s="281"/>
      <c r="V412" s="281"/>
      <c r="W412" s="281" t="s">
        <v>663</v>
      </c>
      <c r="X412" s="281" t="s">
        <v>316</v>
      </c>
      <c r="Y412" s="282">
        <f>SUM(Y413,Y414,Y415)</f>
        <v>0</v>
      </c>
      <c r="Z412" s="283" t="str">
        <f t="shared" si="4"/>
        <v>--</v>
      </c>
    </row>
    <row r="413" spans="18:26" ht="13.9" customHeight="1" x14ac:dyDescent="0.2">
      <c r="S413" s="207" t="s">
        <v>574</v>
      </c>
      <c r="W413" s="228" t="s">
        <v>595</v>
      </c>
      <c r="X413" s="228" t="s">
        <v>316</v>
      </c>
      <c r="Y413" s="229">
        <f>SUM(R31)</f>
        <v>0</v>
      </c>
      <c r="Z413" s="277" t="str">
        <f t="shared" si="4"/>
        <v>--</v>
      </c>
    </row>
    <row r="414" spans="18:26" ht="13.9" customHeight="1" x14ac:dyDescent="0.2">
      <c r="S414" s="207" t="s">
        <v>571</v>
      </c>
      <c r="W414" s="228" t="s">
        <v>595</v>
      </c>
      <c r="X414" s="228" t="s">
        <v>575</v>
      </c>
      <c r="Y414" s="229">
        <f>SUM(R32)</f>
        <v>0</v>
      </c>
      <c r="Z414" s="277" t="str">
        <f t="shared" si="4"/>
        <v>--</v>
      </c>
    </row>
    <row r="415" spans="18:26" ht="13.9" customHeight="1" x14ac:dyDescent="0.2">
      <c r="S415" s="207" t="s">
        <v>55</v>
      </c>
      <c r="W415" s="228" t="s">
        <v>595</v>
      </c>
      <c r="X415" s="228" t="s">
        <v>316</v>
      </c>
      <c r="Y415" s="229">
        <f>SUM(R34)</f>
        <v>0</v>
      </c>
      <c r="Z415" s="277" t="str">
        <f t="shared" si="4"/>
        <v>--</v>
      </c>
    </row>
    <row r="416" spans="18:26" ht="13.9" customHeight="1" x14ac:dyDescent="0.2">
      <c r="S416" s="279" t="str">
        <f>B37</f>
        <v>Maan kaivu ja muotoilu (valmistelu- ja puhdistusvaihe)</v>
      </c>
      <c r="T416" s="280"/>
      <c r="U416" s="281"/>
      <c r="V416" s="281"/>
      <c r="W416" s="281" t="s">
        <v>595</v>
      </c>
      <c r="X416" s="281" t="s">
        <v>575</v>
      </c>
      <c r="Y416" s="282">
        <f>SUM(R39)</f>
        <v>0</v>
      </c>
      <c r="Z416" s="283" t="str">
        <f t="shared" si="4"/>
        <v>--</v>
      </c>
    </row>
    <row r="417" spans="19:26" ht="13.9" customHeight="1" x14ac:dyDescent="0.2">
      <c r="S417" s="279" t="str">
        <f>B44</f>
        <v xml:space="preserve">Muut asennus- ja valmisteluvaiheen työkoneita tarvitsevat työosuudet </v>
      </c>
      <c r="T417" s="280"/>
      <c r="U417" s="281"/>
      <c r="V417" s="281"/>
      <c r="W417" s="281" t="s">
        <v>595</v>
      </c>
      <c r="X417" s="281" t="s">
        <v>316</v>
      </c>
      <c r="Y417" s="282">
        <f>SUM(R47,R51,R55)</f>
        <v>0</v>
      </c>
      <c r="Z417" s="283" t="str">
        <f t="shared" si="4"/>
        <v>--</v>
      </c>
    </row>
    <row r="418" spans="19:26" ht="13.9" customHeight="1" x14ac:dyDescent="0.2">
      <c r="S418" s="279" t="str">
        <f>B52</f>
        <v>Työkoneen käyttövoima (valitse viereisestä alasvetovalikosta)</v>
      </c>
      <c r="T418" s="280"/>
      <c r="U418" s="281"/>
      <c r="V418" s="281"/>
      <c r="W418" s="281" t="s">
        <v>662</v>
      </c>
      <c r="X418" s="281" t="s">
        <v>602</v>
      </c>
      <c r="Y418" s="282">
        <f>SUM(Y419:Y420)</f>
        <v>0</v>
      </c>
      <c r="Z418" s="283" t="str">
        <f t="shared" si="4"/>
        <v>--</v>
      </c>
    </row>
    <row r="419" spans="19:26" ht="13.9" customHeight="1" x14ac:dyDescent="0.2">
      <c r="S419" s="207" t="s">
        <v>40</v>
      </c>
      <c r="T419" s="227"/>
      <c r="W419" s="228" t="s">
        <v>40</v>
      </c>
      <c r="X419" s="228" t="s">
        <v>602</v>
      </c>
      <c r="Y419" s="229">
        <f>SUM(AB63,AB68,AB73,AB78,AB83)</f>
        <v>0</v>
      </c>
      <c r="Z419" s="277" t="str">
        <f t="shared" si="4"/>
        <v>--</v>
      </c>
    </row>
    <row r="420" spans="19:26" ht="13.9" customHeight="1" x14ac:dyDescent="0.2">
      <c r="S420" s="207" t="s">
        <v>577</v>
      </c>
      <c r="T420" s="227"/>
      <c r="W420" s="228" t="s">
        <v>40</v>
      </c>
      <c r="X420" s="228" t="s">
        <v>602</v>
      </c>
      <c r="Y420" s="229">
        <f>SUM(AG63,AG68,AG73,AG78,AG83)</f>
        <v>0</v>
      </c>
      <c r="Z420" s="277" t="str">
        <f t="shared" si="4"/>
        <v>--</v>
      </c>
    </row>
    <row r="421" spans="19:26" ht="13.9" customHeight="1" x14ac:dyDescent="0.2">
      <c r="S421" s="279" t="str">
        <f>B90</f>
        <v>Mahdolliset poistettavia maa-aineksia korvaavien maa-ainesten määrä</v>
      </c>
      <c r="T421" s="280"/>
      <c r="U421" s="281"/>
      <c r="V421" s="281"/>
      <c r="W421" s="281" t="s">
        <v>594</v>
      </c>
      <c r="X421" s="281" t="s">
        <v>602</v>
      </c>
      <c r="Y421" s="282">
        <f>SUM(R92:R96)</f>
        <v>0</v>
      </c>
      <c r="Z421" s="283" t="str">
        <f t="shared" si="4"/>
        <v>--</v>
      </c>
    </row>
    <row r="422" spans="19:26" ht="13.9" customHeight="1" x14ac:dyDescent="0.2">
      <c r="S422" s="279" t="str">
        <f>B100</f>
        <v>Mahdollisten korvaavien maa-ainesten kuljetukset alueelle</v>
      </c>
      <c r="T422" s="280"/>
      <c r="U422" s="281"/>
      <c r="V422" s="281"/>
      <c r="W422" s="281" t="s">
        <v>662</v>
      </c>
      <c r="X422" s="281" t="s">
        <v>602</v>
      </c>
      <c r="Y422" s="282">
        <f>SUM(Y423,Y424)</f>
        <v>0</v>
      </c>
      <c r="Z422" s="283" t="str">
        <f t="shared" si="4"/>
        <v>--</v>
      </c>
    </row>
    <row r="423" spans="19:26" ht="13.9" customHeight="1" x14ac:dyDescent="0.2">
      <c r="S423" s="207" t="s">
        <v>40</v>
      </c>
      <c r="W423" s="228" t="s">
        <v>40</v>
      </c>
      <c r="X423" s="228" t="s">
        <v>602</v>
      </c>
      <c r="Y423" s="229">
        <f>SUM(AB118,AB113,AB108,AB103,AB123)</f>
        <v>0</v>
      </c>
      <c r="Z423" s="277" t="str">
        <f t="shared" si="4"/>
        <v>--</v>
      </c>
    </row>
    <row r="424" spans="19:26" ht="13.9" customHeight="1" x14ac:dyDescent="0.2">
      <c r="S424" s="207" t="s">
        <v>577</v>
      </c>
      <c r="W424" s="228" t="s">
        <v>40</v>
      </c>
      <c r="X424" s="228" t="s">
        <v>602</v>
      </c>
      <c r="Y424" s="229">
        <f>SUM(AG103,AG108,AG113,AG118,AG123)</f>
        <v>0</v>
      </c>
      <c r="Z424" s="277" t="str">
        <f t="shared" si="4"/>
        <v>--</v>
      </c>
    </row>
    <row r="425" spans="19:26" ht="13.9" customHeight="1" x14ac:dyDescent="0.2">
      <c r="S425" s="279" t="str">
        <f>B130</f>
        <v>Käytettävät kertakäyttöiset tuotteet tai materiaalit</v>
      </c>
      <c r="T425" s="280"/>
      <c r="U425" s="281"/>
      <c r="V425" s="281"/>
      <c r="W425" s="281" t="s">
        <v>594</v>
      </c>
      <c r="X425" s="281" t="s">
        <v>602</v>
      </c>
      <c r="Y425" s="282">
        <f>SUM(R146,R143,R140,R137,R134)</f>
        <v>0</v>
      </c>
      <c r="Z425" s="283" t="str">
        <f t="shared" si="4"/>
        <v>--</v>
      </c>
    </row>
    <row r="426" spans="19:26" ht="13.9" customHeight="1" x14ac:dyDescent="0.2">
      <c r="S426" s="279" t="str">
        <f>B148</f>
        <v>Käytettävien kemikaalien, tuotteiden ja materiaalien kuljetukset alueelle</v>
      </c>
      <c r="T426" s="280"/>
      <c r="U426" s="281"/>
      <c r="V426" s="281"/>
      <c r="W426" s="281" t="s">
        <v>40</v>
      </c>
      <c r="X426" s="281" t="s">
        <v>602</v>
      </c>
      <c r="Y426" s="282">
        <f>SUM(R154,R162,R170,R178,R186)</f>
        <v>0</v>
      </c>
      <c r="Z426" s="283" t="str">
        <f t="shared" si="4"/>
        <v>--</v>
      </c>
    </row>
    <row r="427" spans="19:26" ht="13.9" customHeight="1" x14ac:dyDescent="0.2">
      <c r="S427" s="279" t="s">
        <v>42</v>
      </c>
      <c r="T427" s="281"/>
      <c r="U427" s="281"/>
      <c r="V427" s="281"/>
      <c r="W427" s="281" t="s">
        <v>664</v>
      </c>
      <c r="X427" s="281"/>
      <c r="Y427" s="282">
        <f>SUM(Y428:Y430)</f>
        <v>0</v>
      </c>
      <c r="Z427" s="283" t="str">
        <f t="shared" si="4"/>
        <v>--</v>
      </c>
    </row>
    <row r="428" spans="19:26" ht="13.9" customHeight="1" x14ac:dyDescent="0.2">
      <c r="S428" s="207" t="s">
        <v>60</v>
      </c>
      <c r="W428" s="228" t="s">
        <v>601</v>
      </c>
      <c r="X428" s="228" t="s">
        <v>316</v>
      </c>
      <c r="Y428" s="229">
        <f>SUM(R238)</f>
        <v>0</v>
      </c>
      <c r="Z428" s="277" t="str">
        <f t="shared" si="4"/>
        <v>--</v>
      </c>
    </row>
    <row r="429" spans="19:26" ht="13.9" customHeight="1" x14ac:dyDescent="0.2">
      <c r="S429" s="207" t="s">
        <v>580</v>
      </c>
      <c r="W429" s="228" t="s">
        <v>601</v>
      </c>
      <c r="X429" s="228" t="s">
        <v>602</v>
      </c>
      <c r="Y429" s="229">
        <f>SUM(R240)</f>
        <v>0</v>
      </c>
      <c r="Z429" s="277" t="str">
        <f t="shared" si="4"/>
        <v>--</v>
      </c>
    </row>
    <row r="430" spans="19:26" ht="13.9" customHeight="1" x14ac:dyDescent="0.2">
      <c r="S430" s="207" t="s">
        <v>581</v>
      </c>
      <c r="W430" s="228" t="s">
        <v>601</v>
      </c>
      <c r="X430" s="228" t="s">
        <v>603</v>
      </c>
      <c r="Y430" s="229">
        <f>SUM(R327)</f>
        <v>0</v>
      </c>
      <c r="Z430" s="277" t="str">
        <f t="shared" si="4"/>
        <v>--</v>
      </c>
    </row>
    <row r="431" spans="19:26" ht="13.9" customHeight="1" x14ac:dyDescent="0.2">
      <c r="S431" s="284" t="str">
        <f>B248</f>
        <v>Rakenteiden purkaminen</v>
      </c>
      <c r="T431" s="281"/>
      <c r="U431" s="281"/>
      <c r="V431" s="281"/>
      <c r="W431" s="281" t="s">
        <v>595</v>
      </c>
      <c r="X431" s="281" t="s">
        <v>350</v>
      </c>
      <c r="Y431" s="282">
        <f>SUM(R251,R255,R259)</f>
        <v>0</v>
      </c>
      <c r="Z431" s="283" t="str">
        <f t="shared" si="4"/>
        <v>--</v>
      </c>
    </row>
    <row r="432" spans="19:26" ht="13.9" customHeight="1" x14ac:dyDescent="0.2">
      <c r="S432" s="284" t="str">
        <f>B263</f>
        <v>Poistettavien rakenteiden ja puhdistukseen päättämiseen liittyvien materiaalien kuljetukset</v>
      </c>
      <c r="T432" s="281"/>
      <c r="U432" s="281"/>
      <c r="V432" s="281"/>
      <c r="W432" s="281" t="s">
        <v>662</v>
      </c>
      <c r="X432" s="281" t="s">
        <v>350</v>
      </c>
      <c r="Y432" s="282">
        <f>SUM(Y433:Y434)</f>
        <v>0</v>
      </c>
      <c r="Z432" s="283" t="str">
        <f t="shared" si="4"/>
        <v>--</v>
      </c>
    </row>
    <row r="433" spans="19:26" ht="13.9" customHeight="1" x14ac:dyDescent="0.2">
      <c r="S433" s="246" t="s">
        <v>40</v>
      </c>
      <c r="W433" s="228" t="s">
        <v>40</v>
      </c>
      <c r="X433" s="228" t="s">
        <v>350</v>
      </c>
      <c r="Y433" s="229">
        <f>SUM(AB266,AB271,AB276,AB281,AB286)</f>
        <v>0</v>
      </c>
      <c r="Z433" s="277" t="str">
        <f t="shared" si="4"/>
        <v>--</v>
      </c>
    </row>
    <row r="434" spans="19:26" ht="13.9" customHeight="1" x14ac:dyDescent="0.2">
      <c r="S434" s="246" t="s">
        <v>577</v>
      </c>
      <c r="W434" s="228" t="s">
        <v>40</v>
      </c>
      <c r="X434" s="228" t="s">
        <v>350</v>
      </c>
      <c r="Y434" s="229">
        <f>SUM(AG266,AG271,AG276,AG281,AG286)</f>
        <v>0</v>
      </c>
      <c r="Z434" s="277" t="str">
        <f t="shared" si="4"/>
        <v>--</v>
      </c>
    </row>
    <row r="435" spans="19:26" ht="13.9" customHeight="1" x14ac:dyDescent="0.2">
      <c r="S435" s="284" t="str">
        <f>B293</f>
        <v>Jätteiden loppusijoitus</v>
      </c>
      <c r="T435" s="281"/>
      <c r="U435" s="281"/>
      <c r="V435" s="281"/>
      <c r="W435" s="281" t="s">
        <v>688</v>
      </c>
      <c r="X435" s="281" t="s">
        <v>350</v>
      </c>
      <c r="Y435" s="282">
        <f>SUM(Y436:Y437)</f>
        <v>0</v>
      </c>
      <c r="Z435" s="283" t="str">
        <f t="shared" si="4"/>
        <v>--</v>
      </c>
    </row>
    <row r="436" spans="19:26" ht="13.9" customHeight="1" x14ac:dyDescent="0.2">
      <c r="S436" s="246" t="str">
        <f>B295</f>
        <v>Poistettujen kertakäyttöisten rakenteiden ja materiaalien jatkokäsittely (pl. maa-ainekset)</v>
      </c>
      <c r="W436" s="228" t="s">
        <v>600</v>
      </c>
      <c r="X436" s="228" t="s">
        <v>350</v>
      </c>
      <c r="Y436" s="229">
        <f>SUM(R300,R297,R303,R306,R309,R312)</f>
        <v>0</v>
      </c>
      <c r="Z436" s="277" t="str">
        <f t="shared" si="4"/>
        <v>--</v>
      </c>
    </row>
    <row r="437" spans="19:26" ht="13.9" customHeight="1" x14ac:dyDescent="0.2">
      <c r="S437" s="246" t="str">
        <f>B316</f>
        <v>Poistetun maan jatkokäsittely vastaanottopaikassa</v>
      </c>
      <c r="W437" s="228" t="s">
        <v>600</v>
      </c>
      <c r="X437" s="228" t="s">
        <v>350</v>
      </c>
      <c r="Y437" s="229">
        <f>SUM(R318,R320)</f>
        <v>0</v>
      </c>
      <c r="Z437" s="277" t="str">
        <f t="shared" si="4"/>
        <v>--</v>
      </c>
    </row>
    <row r="438" spans="19:26" ht="13.9" customHeight="1" x14ac:dyDescent="0.2">
      <c r="S438" s="22"/>
      <c r="Y438" s="229"/>
      <c r="Z438" s="277"/>
    </row>
    <row r="439" spans="19:26" ht="13.9" customHeight="1" x14ac:dyDescent="0.2">
      <c r="S439" s="361" t="s">
        <v>583</v>
      </c>
      <c r="Y439" s="392">
        <f>SUM(Y435,Y431:Y432,Y425:Y427,Y421:Y422,Y416:Y418,Y412,Y405)</f>
        <v>0</v>
      </c>
      <c r="Z439" s="393">
        <f>SUM(Z435,Z431:Z432,Z425:Z427,Z421:Z422,Z416:Z418,Z412,Z405)</f>
        <v>0</v>
      </c>
    </row>
    <row r="440" spans="19:26" ht="13.9" customHeight="1" x14ac:dyDescent="0.2">
      <c r="S440" s="99"/>
      <c r="Y440" s="229"/>
    </row>
    <row r="442" spans="19:26" ht="13.9" hidden="1" customHeight="1" x14ac:dyDescent="0.2"/>
    <row r="443" spans="19:26" ht="13.9" hidden="1" customHeight="1" x14ac:dyDescent="0.2"/>
    <row r="444" spans="19:26" ht="13.9" hidden="1" customHeight="1" x14ac:dyDescent="0.2"/>
    <row r="445" spans="19:26" ht="13.9" hidden="1" customHeight="1" x14ac:dyDescent="0.2"/>
    <row r="446" spans="19:26" ht="13.9" hidden="1" customHeight="1" x14ac:dyDescent="0.2"/>
    <row r="447" spans="19:26" ht="13.9" hidden="1" customHeight="1" x14ac:dyDescent="0.2"/>
    <row r="448" spans="19:26" ht="13.9" hidden="1" customHeight="1" x14ac:dyDescent="0.2"/>
    <row r="449" spans="19:22" ht="13.9" hidden="1" customHeight="1" x14ac:dyDescent="0.2"/>
    <row r="450" spans="19:22" ht="13.9" hidden="1" customHeight="1" x14ac:dyDescent="0.2"/>
    <row r="451" spans="19:22" ht="13.9" hidden="1" customHeight="1" x14ac:dyDescent="0.2"/>
    <row r="452" spans="19:22" ht="13.9" hidden="1" customHeight="1" x14ac:dyDescent="0.2"/>
    <row r="453" spans="19:22" ht="13.9" hidden="1" customHeight="1" x14ac:dyDescent="0.2"/>
    <row r="454" spans="19:22" ht="13.9" hidden="1" customHeight="1" x14ac:dyDescent="0.2"/>
    <row r="455" spans="19:22" ht="13.9" hidden="1" customHeight="1" x14ac:dyDescent="0.2"/>
    <row r="456" spans="19:22" ht="13.9" hidden="1" customHeight="1" x14ac:dyDescent="0.2"/>
    <row r="457" spans="19:22" ht="13.9" hidden="1" customHeight="1" x14ac:dyDescent="0.2"/>
    <row r="458" spans="19:22" ht="13.9" hidden="1" customHeight="1" x14ac:dyDescent="0.2"/>
    <row r="459" spans="19:22" ht="13.9" hidden="1" customHeight="1" x14ac:dyDescent="0.2"/>
    <row r="460" spans="19:22" ht="13.9" hidden="1" customHeight="1" x14ac:dyDescent="0.2"/>
    <row r="461" spans="19:22" ht="13.9" customHeight="1" x14ac:dyDescent="0.2">
      <c r="S461" s="99" t="s">
        <v>594</v>
      </c>
      <c r="U461" s="229">
        <f t="shared" ref="U461:U466" si="5">SUMIFS($Y$405:$Y$437,$W$405:$W$437,S461)</f>
        <v>0</v>
      </c>
      <c r="V461" s="277" t="str">
        <f>IF(ISERROR(U461/$U$467),"--",U461/$U$467)</f>
        <v>--</v>
      </c>
    </row>
    <row r="462" spans="19:22" ht="13.9" customHeight="1" x14ac:dyDescent="0.2">
      <c r="S462" s="99" t="s">
        <v>40</v>
      </c>
      <c r="U462" s="229">
        <f t="shared" si="5"/>
        <v>0</v>
      </c>
      <c r="V462" s="277" t="str">
        <f t="shared" ref="V462:V467" si="6">IF(ISERROR(U462/$U$467),"--",U462/$U$467)</f>
        <v>--</v>
      </c>
    </row>
    <row r="463" spans="19:22" ht="13.9" customHeight="1" x14ac:dyDescent="0.2">
      <c r="S463" s="99" t="s">
        <v>595</v>
      </c>
      <c r="U463" s="229">
        <f t="shared" si="5"/>
        <v>0</v>
      </c>
      <c r="V463" s="277" t="str">
        <f t="shared" si="6"/>
        <v>--</v>
      </c>
    </row>
    <row r="464" spans="19:22" ht="13.9" customHeight="1" x14ac:dyDescent="0.2">
      <c r="S464" s="99" t="s">
        <v>683</v>
      </c>
      <c r="U464" s="229">
        <f t="shared" si="5"/>
        <v>0</v>
      </c>
      <c r="V464" s="277" t="str">
        <f t="shared" si="6"/>
        <v>--</v>
      </c>
    </row>
    <row r="465" spans="19:26" ht="13.9" customHeight="1" x14ac:dyDescent="0.2">
      <c r="S465" s="99" t="s">
        <v>600</v>
      </c>
      <c r="U465" s="229">
        <f t="shared" si="5"/>
        <v>0</v>
      </c>
      <c r="V465" s="277" t="str">
        <f t="shared" si="6"/>
        <v>--</v>
      </c>
    </row>
    <row r="466" spans="19:26" ht="13.9" customHeight="1" x14ac:dyDescent="0.2">
      <c r="S466" s="99" t="s">
        <v>601</v>
      </c>
      <c r="U466" s="229">
        <f t="shared" si="5"/>
        <v>0</v>
      </c>
      <c r="V466" s="277" t="str">
        <f t="shared" si="6"/>
        <v>--</v>
      </c>
    </row>
    <row r="467" spans="19:26" ht="13.9" customHeight="1" x14ac:dyDescent="0.2">
      <c r="S467" s="99" t="s">
        <v>605</v>
      </c>
      <c r="U467" s="229">
        <f>SUM(U461:U466)</f>
        <v>0</v>
      </c>
      <c r="V467" s="277" t="str">
        <f t="shared" si="6"/>
        <v>--</v>
      </c>
    </row>
    <row r="468" spans="19:26" ht="13.9" customHeight="1" x14ac:dyDescent="0.2">
      <c r="S468" s="99"/>
      <c r="U468" s="229"/>
      <c r="V468" s="277"/>
    </row>
    <row r="469" spans="19:26" ht="13.9" customHeight="1" x14ac:dyDescent="0.2">
      <c r="S469" s="361" t="s">
        <v>686</v>
      </c>
    </row>
    <row r="470" spans="19:26" ht="13.9" customHeight="1" x14ac:dyDescent="0.2">
      <c r="S470" s="284" t="s">
        <v>597</v>
      </c>
      <c r="T470" s="281"/>
      <c r="U470" s="281"/>
      <c r="V470" s="281"/>
      <c r="W470" s="281"/>
      <c r="X470" s="281"/>
      <c r="Y470" s="282">
        <f>SUM(Y471)</f>
        <v>0</v>
      </c>
      <c r="Z470" s="283"/>
    </row>
    <row r="471" spans="19:26" ht="13.9" customHeight="1" x14ac:dyDescent="0.2">
      <c r="S471" s="246" t="s">
        <v>572</v>
      </c>
      <c r="W471" s="228" t="s">
        <v>601</v>
      </c>
      <c r="X471" s="228" t="s">
        <v>573</v>
      </c>
      <c r="Y471" s="229">
        <f>SUM(R30)</f>
        <v>0</v>
      </c>
      <c r="Z471" s="277"/>
    </row>
    <row r="472" spans="19:26" ht="13.9" customHeight="1" x14ac:dyDescent="0.2">
      <c r="S472" s="99" t="s">
        <v>598</v>
      </c>
      <c r="Y472" s="228" t="s">
        <v>599</v>
      </c>
    </row>
    <row r="474" spans="19:26" ht="13.9" customHeight="1" x14ac:dyDescent="0.2">
      <c r="S474" s="284" t="s">
        <v>351</v>
      </c>
      <c r="T474" s="281"/>
      <c r="U474" s="281"/>
      <c r="V474" s="281"/>
      <c r="W474" s="281" t="s">
        <v>689</v>
      </c>
      <c r="X474" s="281"/>
      <c r="Y474" s="282">
        <f>SUM(Y476,Y475)</f>
        <v>0</v>
      </c>
      <c r="Z474" s="283"/>
    </row>
    <row r="475" spans="19:26" ht="13.9" customHeight="1" x14ac:dyDescent="0.2">
      <c r="S475" s="246" t="s">
        <v>609</v>
      </c>
      <c r="W475" s="228" t="s">
        <v>582</v>
      </c>
      <c r="X475" s="228" t="s">
        <v>350</v>
      </c>
      <c r="Y475" s="229">
        <f>SUM(R301,R302,R304,R305,R307,R308,R310,R311,R313,R314)</f>
        <v>0</v>
      </c>
      <c r="Z475" s="277"/>
    </row>
    <row r="476" spans="19:26" ht="13.9" customHeight="1" x14ac:dyDescent="0.2">
      <c r="S476" s="246" t="s">
        <v>610</v>
      </c>
      <c r="W476" s="228" t="s">
        <v>582</v>
      </c>
      <c r="X476" s="228" t="s">
        <v>350</v>
      </c>
      <c r="Y476" s="229">
        <f>SUM(R321)</f>
        <v>0</v>
      </c>
      <c r="Z476" s="277"/>
    </row>
    <row r="487" ht="12.75" customHeight="1" x14ac:dyDescent="0.2"/>
  </sheetData>
  <mergeCells count="66">
    <mergeCell ref="C287:G287"/>
    <mergeCell ref="C255:G255"/>
    <mergeCell ref="C259:G259"/>
    <mergeCell ref="C11:G11"/>
    <mergeCell ref="C16:G16"/>
    <mergeCell ref="C21:G21"/>
    <mergeCell ref="C26:D26"/>
    <mergeCell ref="C69:G69"/>
    <mergeCell ref="C40:G40"/>
    <mergeCell ref="C47:G47"/>
    <mergeCell ref="C51:G51"/>
    <mergeCell ref="C64:G64"/>
    <mergeCell ref="C55:G55"/>
    <mergeCell ref="C191:D191"/>
    <mergeCell ref="C192:D192"/>
    <mergeCell ref="C136:D136"/>
    <mergeCell ref="C198:G198"/>
    <mergeCell ref="C204:G204"/>
    <mergeCell ref="C210:G210"/>
    <mergeCell ref="C190:D190"/>
    <mergeCell ref="C182:D182"/>
    <mergeCell ref="C282:G282"/>
    <mergeCell ref="C224:D224"/>
    <mergeCell ref="C251:G251"/>
    <mergeCell ref="C216:G216"/>
    <mergeCell ref="C267:G267"/>
    <mergeCell ref="C272:G272"/>
    <mergeCell ref="C277:G277"/>
    <mergeCell ref="C174:D174"/>
    <mergeCell ref="C163:D163"/>
    <mergeCell ref="C133:D133"/>
    <mergeCell ref="C109:G109"/>
    <mergeCell ref="C114:G114"/>
    <mergeCell ref="C119:G119"/>
    <mergeCell ref="C124:G124"/>
    <mergeCell ref="C156:G156"/>
    <mergeCell ref="C139:D139"/>
    <mergeCell ref="C164:G164"/>
    <mergeCell ref="C172:G172"/>
    <mergeCell ref="C159:D159"/>
    <mergeCell ref="C160:D160"/>
    <mergeCell ref="C166:D166"/>
    <mergeCell ref="C167:D167"/>
    <mergeCell ref="C168:D168"/>
    <mergeCell ref="C74:G74"/>
    <mergeCell ref="C79:G79"/>
    <mergeCell ref="C84:G84"/>
    <mergeCell ref="C88:D88"/>
    <mergeCell ref="C128:D128"/>
    <mergeCell ref="C104:G104"/>
    <mergeCell ref="C142:D142"/>
    <mergeCell ref="C145:D145"/>
    <mergeCell ref="C329:D329"/>
    <mergeCell ref="B150:H150"/>
    <mergeCell ref="B151:H151"/>
    <mergeCell ref="C187:D187"/>
    <mergeCell ref="C188:G188"/>
    <mergeCell ref="C155:D155"/>
    <mergeCell ref="C171:D171"/>
    <mergeCell ref="C179:D179"/>
    <mergeCell ref="C183:D183"/>
    <mergeCell ref="C184:D184"/>
    <mergeCell ref="C175:D175"/>
    <mergeCell ref="C176:D176"/>
    <mergeCell ref="C180:G180"/>
    <mergeCell ref="C158:D158"/>
  </mergeCells>
  <conditionalFormatting sqref="G63">
    <cfRule type="expression" dxfId="147" priority="30">
      <formula>(D63="t")</formula>
    </cfRule>
  </conditionalFormatting>
  <conditionalFormatting sqref="G68">
    <cfRule type="expression" dxfId="146" priority="29">
      <formula>(D68="t")</formula>
    </cfRule>
  </conditionalFormatting>
  <conditionalFormatting sqref="G73">
    <cfRule type="expression" dxfId="145" priority="28">
      <formula>(D73="t")</formula>
    </cfRule>
  </conditionalFormatting>
  <conditionalFormatting sqref="G78">
    <cfRule type="expression" dxfId="144" priority="27">
      <formula>(D78="t")</formula>
    </cfRule>
  </conditionalFormatting>
  <conditionalFormatting sqref="G83">
    <cfRule type="expression" dxfId="143" priority="26">
      <formula>(D83="t")</formula>
    </cfRule>
  </conditionalFormatting>
  <conditionalFormatting sqref="G134 G137 G140 G143 G146">
    <cfRule type="expression" dxfId="142" priority="1">
      <formula>$D134="Oma yksikkö"</formula>
    </cfRule>
  </conditionalFormatting>
  <conditionalFormatting sqref="G266">
    <cfRule type="expression" dxfId="141" priority="18">
      <formula>(D266="t")</formula>
    </cfRule>
  </conditionalFormatting>
  <conditionalFormatting sqref="G271">
    <cfRule type="expression" dxfId="140" priority="16">
      <formula>(D271="t")</formula>
    </cfRule>
  </conditionalFormatting>
  <conditionalFormatting sqref="G276">
    <cfRule type="expression" dxfId="139" priority="15">
      <formula>(D276="t")</formula>
    </cfRule>
  </conditionalFormatting>
  <conditionalFormatting sqref="G281">
    <cfRule type="expression" dxfId="138" priority="14">
      <formula>(D281="t")</formula>
    </cfRule>
  </conditionalFormatting>
  <conditionalFormatting sqref="G286">
    <cfRule type="expression" dxfId="137" priority="17">
      <formula>(D286="t")</formula>
    </cfRule>
  </conditionalFormatting>
  <pageMargins left="0.70866141732283472" right="0.70866141732283472" top="0.74803149606299213" bottom="0.74803149606299213" header="0.31496062992125984" footer="0.31496062992125984"/>
  <pageSetup paperSize="9" scale="75" orientation="landscape" verticalDpi="0" r:id="rId1"/>
  <headerFooter>
    <oddHeader>&amp;L&amp;"-,Lihavoitu"&amp;12PIIP-laskentatyökalu&amp;REristäminen
Sivu &amp;P/&amp;N</oddHeader>
    <oddFooter>&amp;L&amp;G&amp;R&amp;G</oddFooter>
  </headerFooter>
  <ignoredErrors>
    <ignoredError sqref="K303 R303 K306 R306 K309 R309 K312" formula="1"/>
  </ignoredErrors>
  <legacy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34" id="{7FA70147-C12B-4EF9-B283-F0A3AC66F44E}">
            <xm:f>$C$158=Pudotusvalikot!$D$68</xm:f>
            <x14:dxf>
              <fill>
                <patternFill>
                  <bgColor theme="2" tint="0.59996337778862885"/>
                </patternFill>
              </fill>
            </x14:dxf>
          </x14:cfRule>
          <xm:sqref>L39</xm:sqref>
        </x14:conditionalFormatting>
        <x14:conditionalFormatting xmlns:xm="http://schemas.microsoft.com/office/excel/2006/main">
          <x14:cfRule type="expression" priority="33" id="{F9767CC1-D832-484E-B75A-07423CCC79AB}">
            <xm:f>#REF!=Pudotusvalikot!$D$68</xm:f>
            <x14:dxf>
              <fill>
                <patternFill>
                  <bgColor theme="2" tint="0.59996337778862885"/>
                </patternFill>
              </fill>
            </x14:dxf>
          </x14:cfRule>
          <xm:sqref>L47 L255 L259</xm:sqref>
        </x14:conditionalFormatting>
        <x14:conditionalFormatting xmlns:xm="http://schemas.microsoft.com/office/excel/2006/main">
          <x14:cfRule type="expression" priority="65" id="{77D94A36-76E7-4643-AB6F-E48D70DBF7EA}">
            <xm:f>$C$47=Pudotusvalikot!$D$68</xm:f>
            <x14:dxf>
              <fill>
                <patternFill>
                  <bgColor theme="2" tint="0.59996337778862885"/>
                </patternFill>
              </fill>
            </x14:dxf>
          </x14:cfRule>
          <xm:sqref>L48 L52 L56 L243</xm:sqref>
        </x14:conditionalFormatting>
        <x14:conditionalFormatting xmlns:xm="http://schemas.microsoft.com/office/excel/2006/main">
          <x14:cfRule type="expression" priority="32" id="{0BEFFAED-A30F-4FDA-903C-96E2BE480ECF}">
            <xm:f>#REF!=Pudotusvalikot!$D$68</xm:f>
            <x14:dxf>
              <fill>
                <patternFill>
                  <bgColor theme="2" tint="0.59996337778862885"/>
                </patternFill>
              </fill>
            </x14:dxf>
          </x14:cfRule>
          <xm:sqref>L51</xm:sqref>
        </x14:conditionalFormatting>
        <x14:conditionalFormatting xmlns:xm="http://schemas.microsoft.com/office/excel/2006/main">
          <x14:cfRule type="expression" priority="31" id="{B3BBC15D-713D-4FEA-868E-3602EE09AABC}">
            <xm:f>#REF!=Pudotusvalikot!$D$68</xm:f>
            <x14:dxf>
              <fill>
                <patternFill>
                  <bgColor theme="2" tint="0.59996337778862885"/>
                </patternFill>
              </fill>
            </x14:dxf>
          </x14:cfRule>
          <xm:sqref>L55</xm:sqref>
        </x14:conditionalFormatting>
        <x14:conditionalFormatting xmlns:xm="http://schemas.microsoft.com/office/excel/2006/main">
          <x14:cfRule type="expression" priority="25" id="{FB512CBC-5946-43D0-B980-147C79FF8D7F}">
            <xm:f>$C$56=Pudotusvalikot!$D$68</xm:f>
            <x14:dxf>
              <fill>
                <patternFill>
                  <bgColor theme="2" tint="0.59996337778862885"/>
                </patternFill>
              </fill>
            </x14:dxf>
          </x14:cfRule>
          <xm:sqref>L197</xm:sqref>
        </x14:conditionalFormatting>
        <x14:conditionalFormatting xmlns:xm="http://schemas.microsoft.com/office/excel/2006/main">
          <x14:cfRule type="expression" priority="24" id="{EB490BA9-6D57-44E6-A1E3-39FA204B235F}">
            <xm:f>$C$56=Pudotusvalikot!$D$68</xm:f>
            <x14:dxf>
              <fill>
                <patternFill>
                  <bgColor theme="2" tint="0.59996337778862885"/>
                </patternFill>
              </fill>
            </x14:dxf>
          </x14:cfRule>
          <xm:sqref>L203</xm:sqref>
        </x14:conditionalFormatting>
        <x14:conditionalFormatting xmlns:xm="http://schemas.microsoft.com/office/excel/2006/main">
          <x14:cfRule type="expression" priority="23" id="{FFA24FE1-55E2-47BE-A4CF-FF8DDC1B4EE8}">
            <xm:f>$C$56=Pudotusvalikot!$D$68</xm:f>
            <x14:dxf>
              <fill>
                <patternFill>
                  <bgColor theme="2" tint="0.59996337778862885"/>
                </patternFill>
              </fill>
            </x14:dxf>
          </x14:cfRule>
          <xm:sqref>L209</xm:sqref>
        </x14:conditionalFormatting>
        <x14:conditionalFormatting xmlns:xm="http://schemas.microsoft.com/office/excel/2006/main">
          <x14:cfRule type="expression" priority="22" id="{2DBE1695-0936-480D-B22E-B21E57004662}">
            <xm:f>$C$56=Pudotusvalikot!$D$68</xm:f>
            <x14:dxf>
              <fill>
                <patternFill>
                  <bgColor theme="2" tint="0.59996337778862885"/>
                </patternFill>
              </fill>
            </x14:dxf>
          </x14:cfRule>
          <xm:sqref>L215</xm:sqref>
        </x14:conditionalFormatting>
        <x14:conditionalFormatting xmlns:xm="http://schemas.microsoft.com/office/excel/2006/main">
          <x14:cfRule type="expression" priority="21" id="{C42BA276-855D-4F63-AEFA-B39D314FC651}">
            <xm:f>#REF!=Pudotusvalikot!$D$68</xm:f>
            <x14:dxf>
              <fill>
                <patternFill>
                  <bgColor theme="2" tint="0.59996337778862885"/>
                </patternFill>
              </fill>
            </x14:dxf>
          </x14:cfRule>
          <xm:sqref>L224:L225</xm:sqref>
        </x14:conditionalFormatting>
        <x14:conditionalFormatting xmlns:xm="http://schemas.microsoft.com/office/excel/2006/main">
          <x14:cfRule type="expression" priority="20" id="{BB76E21D-5EFD-4152-A7B2-2CC2DD8CEAC7}">
            <xm:f>#REF!=Pudotusvalikot!$D$68</xm:f>
            <x14:dxf>
              <fill>
                <patternFill>
                  <bgColor theme="2" tint="0.59996337778862885"/>
                </patternFill>
              </fill>
            </x14:dxf>
          </x14:cfRule>
          <xm:sqref>L232</xm:sqref>
        </x14:conditionalFormatting>
        <x14:conditionalFormatting xmlns:xm="http://schemas.microsoft.com/office/excel/2006/main">
          <x14:cfRule type="expression" priority="3" id="{FC1E72DF-2E99-4175-B977-5F9BA5DFCCC7}">
            <xm:f>$C$55=Pudotusvalikot!$D$68</xm:f>
            <x14:dxf>
              <fill>
                <patternFill>
                  <bgColor theme="2" tint="0.59996337778862885"/>
                </patternFill>
              </fill>
            </x14:dxf>
          </x14:cfRule>
          <xm:sqref>L238 L320:L321 L329</xm:sqref>
        </x14:conditionalFormatting>
        <x14:conditionalFormatting xmlns:xm="http://schemas.microsoft.com/office/excel/2006/main">
          <x14:cfRule type="expression" priority="4" id="{F8215AB4-D393-40A6-9B26-4FE285B1E836}">
            <xm:f>$C$55=Pudotusvalikot!$D$68</xm:f>
            <x14:dxf>
              <fill>
                <patternFill>
                  <bgColor theme="2" tint="0.59996337778862885"/>
                </patternFill>
              </fill>
            </x14:dxf>
          </x14:cfRule>
          <xm:sqref>L240</xm:sqref>
        </x14:conditionalFormatting>
        <x14:conditionalFormatting xmlns:xm="http://schemas.microsoft.com/office/excel/2006/main">
          <x14:cfRule type="expression" priority="13" id="{90A70341-5F89-449E-B779-386CCA760F44}">
            <xm:f>$C$55=Pudotusvalikot!$D$68</xm:f>
            <x14:dxf>
              <fill>
                <patternFill>
                  <bgColor theme="2" tint="0.59996337778862885"/>
                </patternFill>
              </fill>
            </x14:dxf>
          </x14:cfRule>
          <xm:sqref>L242</xm:sqref>
        </x14:conditionalFormatting>
        <x14:conditionalFormatting xmlns:xm="http://schemas.microsoft.com/office/excel/2006/main">
          <x14:cfRule type="expression" priority="19" id="{265DD817-1194-4186-BD42-023A97136927}">
            <xm:f>#REF!=Pudotusvalikot!$D$68</xm:f>
            <x14:dxf>
              <fill>
                <patternFill>
                  <bgColor theme="2" tint="0.59996337778862885"/>
                </patternFill>
              </fill>
            </x14:dxf>
          </x14:cfRule>
          <xm:sqref>L251</xm:sqref>
        </x14:conditionalFormatting>
        <x14:conditionalFormatting xmlns:xm="http://schemas.microsoft.com/office/excel/2006/main">
          <x14:cfRule type="expression" priority="12" id="{93180109-785C-42F9-AA59-FCEF7B7FB4EB}">
            <xm:f>$C$55=Pudotusvalikot!$D$68</xm:f>
            <x14:dxf>
              <fill>
                <patternFill>
                  <bgColor theme="2" tint="0.59996337778862885"/>
                </patternFill>
              </fill>
            </x14:dxf>
          </x14:cfRule>
          <xm:sqref>L297</xm:sqref>
        </x14:conditionalFormatting>
        <x14:conditionalFormatting xmlns:xm="http://schemas.microsoft.com/office/excel/2006/main">
          <x14:cfRule type="expression" priority="6" id="{6F7E43DF-43D5-4A2F-A181-EECEA2EDC104}">
            <xm:f>$C$55=Pudotusvalikot!$D$68</xm:f>
            <x14:dxf>
              <fill>
                <patternFill>
                  <bgColor theme="2" tint="0.59996337778862885"/>
                </patternFill>
              </fill>
            </x14:dxf>
          </x14:cfRule>
          <xm:sqref>L300:L314</xm:sqref>
        </x14:conditionalFormatting>
        <x14:conditionalFormatting xmlns:xm="http://schemas.microsoft.com/office/excel/2006/main">
          <x14:cfRule type="expression" priority="11" id="{12075CF6-A8C1-4D75-866E-487F3A9632E4}">
            <xm:f>$C$55=Pudotusvalikot!$D$68</xm:f>
            <x14:dxf>
              <fill>
                <patternFill>
                  <bgColor theme="2" tint="0.59996337778862885"/>
                </patternFill>
              </fill>
            </x14:dxf>
          </x14:cfRule>
          <xm:sqref>L318</xm:sqref>
        </x14:conditionalFormatting>
        <x14:conditionalFormatting xmlns:xm="http://schemas.microsoft.com/office/excel/2006/main">
          <x14:cfRule type="expression" priority="2" id="{1D42F23C-9BA7-47AE-BD24-1A1B70B2CE4A}">
            <xm:f>$C$55=Pudotusvalikot!$D$68</xm:f>
            <x14:dxf>
              <fill>
                <patternFill>
                  <bgColor theme="2" tint="0.59996337778862885"/>
                </patternFill>
              </fill>
            </x14:dxf>
          </x14:cfRule>
          <xm:sqref>L327</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4CDFA0B6-DAC2-4179-B8E4-717152AEC41D}">
          <x14:formula1>
            <xm:f>Pudotusvalikot!$T$3:$T$7</xm:f>
          </x14:formula1>
          <xm:sqref>D226</xm:sqref>
        </x14:dataValidation>
        <x14:dataValidation type="list" allowBlank="1" showInputMessage="1" showErrorMessage="1" xr:uid="{2ED62E02-1744-43F1-99B7-15D5661A4D76}">
          <x14:formula1>
            <xm:f>Pudotusvalikot!$D$14:$D$65</xm:f>
          </x14:formula1>
          <xm:sqref>C124 C267 C272 C277 C282 C287 C188 C156 C180 C172 C164 C109 C114 C119 C21 C16 C11 C104 C69 C74 C79 C84 C64</xm:sqref>
        </x14:dataValidation>
        <x14:dataValidation type="list" errorStyle="warning" allowBlank="1" showInputMessage="1" showErrorMessage="1" xr:uid="{54FFA16E-0EFB-49EE-B138-93B3D3CDA0CE}">
          <x14:formula1>
            <xm:f>Pudotusvalikot!$B$3:$B$5</xm:f>
          </x14:formula1>
          <xm:sqref>C26 C88 C128 C290:C292</xm:sqref>
        </x14:dataValidation>
        <x14:dataValidation type="list" allowBlank="1" showInputMessage="1" showErrorMessage="1" xr:uid="{956AE537-52DF-4292-BF66-AEEDDB5D0B04}">
          <x14:formula1>
            <xm:f>Pudotusvalikot!$D$67:$D$92</xm:f>
          </x14:formula1>
          <xm:sqref>C255 C259 C251</xm:sqref>
        </x14:dataValidation>
        <x14:dataValidation type="list" allowBlank="1" showInputMessage="1" showErrorMessage="1" xr:uid="{696565FB-D60A-405E-BCCE-B95A848CC4A2}">
          <x14:formula1>
            <xm:f>Pudotusvalikot!$D$67:$D$106</xm:f>
          </x14:formula1>
          <xm:sqref>C40 C216 C210 C55 C204 C198 C51 C47</xm:sqref>
        </x14:dataValidation>
        <x14:dataValidation type="list" allowBlank="1" showInputMessage="1" showErrorMessage="1" xr:uid="{886E70EB-3C0E-4E2F-AA6B-C910A00A59F3}">
          <x14:formula1>
            <xm:f>Pudotusvalikot!$N$3:$N$7</xm:f>
          </x14:formula1>
          <xm:sqref>C158:C160 C166:C168 C182:C184 C174:C176 C190:C192</xm:sqref>
        </x14:dataValidation>
        <x14:dataValidation type="list" allowBlank="1" showInputMessage="1" showErrorMessage="1" xr:uid="{66DBC860-C427-4C5D-8D51-0DA573AE4722}">
          <x14:formula1>
            <xm:f>Pudotusvalikot!$H$3:$H$8</xm:f>
          </x14:formula1>
          <xm:sqref>F42 D42 D206 D200 D218 D212</xm:sqref>
        </x14:dataValidation>
        <x14:dataValidation type="list" allowBlank="1" showInputMessage="1" showErrorMessage="1" xr:uid="{25C7AB24-2FBC-4C91-BD04-4AE121CD3BE2}">
          <x14:formula1>
            <xm:f>Pudotusvalikot!$F$3:$F$7</xm:f>
          </x14:formula1>
          <xm:sqref>D68 D78 D92:D96 D276 D83 D281 D271 D286 D73 D63 D39 F98 D98 D266</xm:sqref>
        </x14:dataValidation>
        <x14:dataValidation type="list" allowBlank="1" showInputMessage="1" showErrorMessage="1" xr:uid="{D2B1F575-DACD-493B-B981-1902E3C1AFCE}">
          <x14:formula1>
            <xm:f>Pudotusvalikot!$V$3:$V$9</xm:f>
          </x14:formula1>
          <xm:sqref>C12 C17 C22 C31 C33 C35 C41 C48 C52 C56 C65 C70 C75 C80 C85 C105 C110 C115 C120 C125 C157 C165 C173 C181 C189 C199 C205 C211 C217 C252 C256 C260 C268 C273 C278 C283 C288 C319 C298</xm:sqref>
        </x14:dataValidation>
        <x14:dataValidation type="list" allowBlank="1" showInputMessage="1" showErrorMessage="1" xr:uid="{B3D0B81E-81E0-4F29-AEDD-6A37BB171A8B}">
          <x14:formula1>
            <xm:f>Pudotusvalikot!$X$3:$X$7</xm:f>
          </x14:formula1>
          <xm:sqref>D228</xm:sqref>
        </x14:dataValidation>
        <x14:dataValidation type="list" errorStyle="warning" allowBlank="1" showInputMessage="1" showErrorMessage="1" xr:uid="{EBFEE745-BB72-429D-BC7E-469EE5BF2E11}">
          <x14:formula1>
            <xm:f>Pudotusvalikot!$H$14:$H$28</xm:f>
          </x14:formula1>
          <xm:sqref>C133:D133 C136:D136 C139:D139 C142:D142 C145:D145</xm:sqref>
        </x14:dataValidation>
        <x14:dataValidation type="list" allowBlank="1" showInputMessage="1" showErrorMessage="1" xr:uid="{A5471BE1-C267-4B20-B78D-4550975678A8}">
          <x14:formula1>
            <xm:f>Pudotusvalikot!$R$3:$R$11</xm:f>
          </x14:formula1>
          <xm:sqref>C224</xm:sqref>
        </x14:dataValidation>
        <x14:dataValidation type="list" allowBlank="1" showInputMessage="1" showErrorMessage="1" xr:uid="{8E825C90-6C82-4735-BEA4-68EB79CA9BAD}">
          <x14:formula1>
            <xm:f>Pudotusvalikot!$J$3:$J$11</xm:f>
          </x14:formula1>
          <xm:sqref>C329 C242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B283D-5790-4F2D-A630-F644426CA329}">
  <sheetPr codeName="Sheet5">
    <tabColor theme="5" tint="0.79998168889431442"/>
  </sheetPr>
  <dimension ref="B1:BG484"/>
  <sheetViews>
    <sheetView zoomScale="85" zoomScaleNormal="85" workbookViewId="0">
      <pane xSplit="1" ySplit="6" topLeftCell="B7" activePane="bottomRight" state="frozen"/>
      <selection pane="topRight" activeCell="B1" sqref="B1"/>
      <selection pane="bottomLeft" activeCell="A7" sqref="A7"/>
      <selection pane="bottomRight" activeCell="C4" sqref="C4"/>
    </sheetView>
  </sheetViews>
  <sheetFormatPr defaultColWidth="9" defaultRowHeight="13.9" customHeight="1" x14ac:dyDescent="0.2"/>
  <cols>
    <col min="1" max="1" width="2.75" style="5" customWidth="1"/>
    <col min="2" max="2" width="88.5" style="5" customWidth="1"/>
    <col min="3" max="3" width="22.25" style="12" customWidth="1"/>
    <col min="4" max="4" width="12.75" style="84" bestFit="1" customWidth="1"/>
    <col min="5" max="5" width="2.25" style="5" customWidth="1"/>
    <col min="6" max="6" width="3.75" style="5" customWidth="1"/>
    <col min="7" max="7" width="22.125" style="12" customWidth="1"/>
    <col min="8" max="8" width="8.25" style="84" customWidth="1"/>
    <col min="9" max="9" width="7.375" style="5" customWidth="1"/>
    <col min="10" max="10" width="60.75" style="14" customWidth="1"/>
    <col min="11" max="12" width="15.75" style="12" customWidth="1"/>
    <col min="13" max="13" width="11.5" style="84" customWidth="1"/>
    <col min="14" max="14" width="2.625" style="84" customWidth="1"/>
    <col min="15" max="15" width="66.375" style="84" customWidth="1"/>
    <col min="16" max="16" width="2.75" style="5" customWidth="1"/>
    <col min="17" max="17" width="2.75" style="138" customWidth="1"/>
    <col min="18" max="18" width="15.75" style="139" customWidth="1"/>
    <col min="19" max="19" width="15.75" style="140" customWidth="1"/>
    <col min="20" max="20" width="26.875" style="22" bestFit="1" customWidth="1"/>
    <col min="21" max="37" width="25.75" style="21" customWidth="1"/>
    <col min="38" max="39" width="15.75" style="21" customWidth="1"/>
    <col min="40" max="41" width="9" style="21"/>
    <col min="42" max="59" width="9" style="22"/>
    <col min="60" max="16384" width="9" style="5"/>
  </cols>
  <sheetData>
    <row r="1" spans="2:59" s="30" customFormat="1" ht="15" x14ac:dyDescent="0.2">
      <c r="C1" s="33"/>
      <c r="D1" s="81"/>
      <c r="G1" s="33"/>
      <c r="H1" s="81"/>
      <c r="J1" s="32"/>
      <c r="K1" s="33"/>
      <c r="L1" s="33"/>
      <c r="M1" s="81"/>
      <c r="N1" s="81"/>
      <c r="O1" s="81"/>
      <c r="Q1" s="129"/>
      <c r="R1" s="94"/>
      <c r="S1" s="104"/>
      <c r="T1" s="36"/>
      <c r="U1" s="35"/>
      <c r="V1" s="35"/>
      <c r="W1" s="35"/>
      <c r="X1" s="35"/>
      <c r="Y1" s="35"/>
      <c r="Z1" s="35"/>
      <c r="AA1" s="35"/>
      <c r="AB1" s="35"/>
      <c r="AC1" s="35"/>
      <c r="AD1" s="35"/>
      <c r="AE1" s="35"/>
      <c r="AF1" s="35"/>
      <c r="AG1" s="35"/>
      <c r="AH1" s="35"/>
      <c r="AI1" s="35"/>
      <c r="AJ1" s="35"/>
      <c r="AK1" s="35"/>
      <c r="AL1" s="35"/>
      <c r="AM1" s="35"/>
      <c r="AN1" s="35"/>
      <c r="AO1" s="35"/>
      <c r="AP1" s="36"/>
      <c r="AQ1" s="36"/>
      <c r="AR1" s="36"/>
      <c r="AS1" s="36"/>
      <c r="AT1" s="36"/>
      <c r="AU1" s="36"/>
      <c r="AV1" s="36"/>
      <c r="AW1" s="36"/>
      <c r="AX1" s="36"/>
      <c r="AY1" s="36"/>
      <c r="AZ1" s="36"/>
      <c r="BA1" s="36"/>
      <c r="BB1" s="36"/>
      <c r="BC1" s="36"/>
      <c r="BD1" s="36"/>
      <c r="BE1" s="36"/>
      <c r="BF1" s="36"/>
      <c r="BG1" s="36"/>
    </row>
    <row r="2" spans="2:59" s="24" customFormat="1" ht="30" x14ac:dyDescent="0.2">
      <c r="B2" s="7" t="s">
        <v>45</v>
      </c>
      <c r="C2" s="364"/>
      <c r="D2" s="365"/>
      <c r="E2" s="366"/>
      <c r="F2" s="367" t="s">
        <v>583</v>
      </c>
      <c r="G2" s="368" t="str">
        <f>IF(OR(ISNUMBER(C4),ISNUMBER(C5)),U474,"")</f>
        <v/>
      </c>
      <c r="H2" s="369" t="s">
        <v>160</v>
      </c>
      <c r="J2" s="25"/>
      <c r="K2" s="26"/>
      <c r="L2" s="26"/>
      <c r="M2" s="82"/>
      <c r="N2" s="82"/>
      <c r="O2" s="82"/>
      <c r="Q2" s="135"/>
      <c r="R2" s="136"/>
      <c r="S2" s="137"/>
      <c r="T2" s="29"/>
      <c r="U2" s="28"/>
      <c r="V2" s="28"/>
      <c r="W2" s="28"/>
      <c r="X2" s="28"/>
      <c r="Y2" s="28"/>
      <c r="Z2" s="28"/>
      <c r="AA2" s="28"/>
      <c r="AB2" s="28"/>
      <c r="AC2" s="28"/>
      <c r="AD2" s="28"/>
      <c r="AE2" s="28"/>
      <c r="AF2" s="28"/>
      <c r="AG2" s="28"/>
      <c r="AH2" s="28"/>
      <c r="AI2" s="28"/>
      <c r="AJ2" s="28"/>
      <c r="AK2" s="28"/>
      <c r="AL2" s="28"/>
      <c r="AM2" s="28"/>
      <c r="AN2" s="28"/>
      <c r="AO2" s="28"/>
      <c r="AP2" s="29"/>
      <c r="AQ2" s="29"/>
      <c r="AR2" s="29"/>
      <c r="AS2" s="29"/>
      <c r="AT2" s="29"/>
      <c r="AU2" s="29"/>
      <c r="AV2" s="29"/>
      <c r="AW2" s="29"/>
      <c r="AX2" s="29"/>
      <c r="AY2" s="29"/>
      <c r="AZ2" s="29"/>
      <c r="BA2" s="29"/>
      <c r="BB2" s="29"/>
      <c r="BC2" s="29"/>
      <c r="BD2" s="29"/>
      <c r="BE2" s="29"/>
      <c r="BF2" s="29"/>
      <c r="BG2" s="29"/>
    </row>
    <row r="3" spans="2:59" s="30" customFormat="1" ht="15" x14ac:dyDescent="0.2">
      <c r="C3" s="33"/>
      <c r="D3" s="81"/>
      <c r="G3" s="33"/>
      <c r="H3" s="81"/>
      <c r="J3" s="32"/>
      <c r="K3" s="33"/>
      <c r="L3" s="33"/>
      <c r="M3" s="81"/>
      <c r="N3" s="81"/>
      <c r="O3" s="81"/>
      <c r="Q3" s="129"/>
      <c r="R3" s="94"/>
      <c r="S3" s="104"/>
      <c r="T3" s="36"/>
      <c r="U3" s="35"/>
      <c r="V3" s="35"/>
      <c r="W3" s="35"/>
      <c r="X3" s="35"/>
      <c r="Y3" s="35"/>
      <c r="Z3" s="35"/>
      <c r="AA3" s="35"/>
      <c r="AB3" s="35"/>
      <c r="AC3" s="35"/>
      <c r="AD3" s="35"/>
      <c r="AE3" s="35"/>
      <c r="AF3" s="35"/>
      <c r="AG3" s="35"/>
      <c r="AH3" s="35"/>
      <c r="AI3" s="35"/>
      <c r="AJ3" s="35"/>
      <c r="AK3" s="35"/>
      <c r="AL3" s="35"/>
      <c r="AM3" s="35"/>
      <c r="AN3" s="35"/>
      <c r="AO3" s="35"/>
      <c r="AP3" s="36"/>
      <c r="AQ3" s="36"/>
      <c r="AR3" s="36"/>
      <c r="AS3" s="36"/>
      <c r="AT3" s="36"/>
      <c r="AU3" s="36"/>
      <c r="AV3" s="36"/>
      <c r="AW3" s="36"/>
      <c r="AX3" s="36"/>
      <c r="AY3" s="36"/>
      <c r="AZ3" s="36"/>
      <c r="BA3" s="36"/>
      <c r="BB3" s="36"/>
      <c r="BC3" s="36"/>
      <c r="BD3" s="36"/>
      <c r="BE3" s="36"/>
      <c r="BF3" s="36"/>
      <c r="BG3" s="36"/>
    </row>
    <row r="4" spans="2:59" s="30" customFormat="1" ht="24.95" customHeight="1" x14ac:dyDescent="0.2">
      <c r="B4" s="79" t="s">
        <v>678</v>
      </c>
      <c r="C4" s="150"/>
      <c r="D4" s="81" t="str">
        <f>IF(ISBLANK(C4),"%","")</f>
        <v>%</v>
      </c>
      <c r="G4" s="171" t="str">
        <f>IF(ISNUMBER(C4),C4*'Kohdetiedot ja yhteenveto'!D12,"")</f>
        <v/>
      </c>
      <c r="H4" s="81" t="s">
        <v>163</v>
      </c>
      <c r="J4" s="32"/>
      <c r="K4" s="33"/>
      <c r="L4" s="33"/>
      <c r="M4" s="81"/>
      <c r="N4" s="81"/>
      <c r="O4" s="81"/>
      <c r="Q4" s="129"/>
      <c r="R4" s="94"/>
      <c r="S4" s="104"/>
      <c r="T4" s="36"/>
      <c r="U4" s="35"/>
      <c r="V4" s="35"/>
      <c r="W4" s="35"/>
      <c r="X4" s="35"/>
      <c r="Y4" s="35"/>
      <c r="Z4" s="35"/>
      <c r="AA4" s="35"/>
      <c r="AB4" s="35"/>
      <c r="AC4" s="35"/>
      <c r="AD4" s="35"/>
      <c r="AE4" s="35"/>
      <c r="AF4" s="35"/>
      <c r="AG4" s="35"/>
      <c r="AH4" s="35"/>
      <c r="AI4" s="35"/>
      <c r="AJ4" s="35"/>
      <c r="AK4" s="35"/>
      <c r="AL4" s="35"/>
      <c r="AM4" s="35"/>
      <c r="AN4" s="35"/>
      <c r="AO4" s="35"/>
      <c r="AP4" s="36"/>
      <c r="AQ4" s="36"/>
      <c r="AR4" s="36"/>
      <c r="AS4" s="36"/>
      <c r="AT4" s="36"/>
      <c r="AU4" s="36"/>
      <c r="AV4" s="36"/>
      <c r="AW4" s="36"/>
      <c r="AX4" s="36"/>
      <c r="AY4" s="36"/>
      <c r="AZ4" s="36"/>
      <c r="BA4" s="36"/>
      <c r="BB4" s="36"/>
      <c r="BC4" s="36"/>
      <c r="BD4" s="36"/>
      <c r="BE4" s="36"/>
      <c r="BF4" s="36"/>
      <c r="BG4" s="36"/>
    </row>
    <row r="5" spans="2:59" s="30" customFormat="1" ht="24.95" customHeight="1" x14ac:dyDescent="0.2">
      <c r="B5" s="79" t="s">
        <v>679</v>
      </c>
      <c r="C5" s="150"/>
      <c r="D5" s="81" t="str">
        <f>IF(ISBLANK(C5),"%","")</f>
        <v>%</v>
      </c>
      <c r="G5" s="171" t="str">
        <f>IF(ISNUMBER(C5),C5*'Kohdetiedot ja yhteenveto'!D13,"")</f>
        <v/>
      </c>
      <c r="H5" s="81" t="s">
        <v>194</v>
      </c>
      <c r="J5" s="32"/>
      <c r="K5" s="33"/>
      <c r="L5" s="33"/>
      <c r="M5" s="81"/>
      <c r="N5" s="81"/>
      <c r="O5" s="81"/>
      <c r="Q5" s="104"/>
      <c r="R5" s="94"/>
      <c r="S5" s="104"/>
      <c r="T5" s="36"/>
      <c r="U5" s="35"/>
      <c r="V5" s="35"/>
      <c r="W5" s="35"/>
      <c r="X5" s="35"/>
      <c r="Y5" s="35"/>
      <c r="Z5" s="35"/>
      <c r="AA5" s="35"/>
      <c r="AB5" s="35"/>
      <c r="AC5" s="35"/>
      <c r="AD5" s="35"/>
      <c r="AE5" s="35"/>
      <c r="AF5" s="35"/>
      <c r="AG5" s="35"/>
      <c r="AH5" s="35"/>
      <c r="AI5" s="35"/>
      <c r="AJ5" s="35"/>
      <c r="AK5" s="35"/>
      <c r="AL5" s="35"/>
      <c r="AM5" s="35"/>
      <c r="AN5" s="35"/>
      <c r="AO5" s="35"/>
      <c r="AP5" s="36"/>
      <c r="AQ5" s="36"/>
      <c r="AR5" s="36"/>
      <c r="AS5" s="36"/>
      <c r="AT5" s="36"/>
      <c r="AU5" s="36"/>
      <c r="AV5" s="36"/>
      <c r="AW5" s="36"/>
      <c r="AX5" s="36"/>
      <c r="AY5" s="36"/>
      <c r="AZ5" s="36"/>
      <c r="BA5" s="36"/>
      <c r="BB5" s="36"/>
      <c r="BC5" s="36"/>
      <c r="BD5" s="36"/>
      <c r="BE5" s="36"/>
      <c r="BF5" s="36"/>
      <c r="BG5" s="36"/>
    </row>
    <row r="6" spans="2:59" s="30" customFormat="1" ht="15" x14ac:dyDescent="0.2">
      <c r="C6" s="33"/>
      <c r="D6" s="81"/>
      <c r="G6" s="33"/>
      <c r="H6" s="81"/>
      <c r="J6" s="32"/>
      <c r="P6" s="67"/>
      <c r="Q6" s="104"/>
      <c r="R6" s="94"/>
      <c r="S6" s="104"/>
      <c r="T6" s="36"/>
      <c r="U6" s="35"/>
      <c r="V6" s="35"/>
      <c r="W6" s="35"/>
      <c r="X6" s="35"/>
      <c r="Y6" s="35"/>
      <c r="Z6" s="35"/>
      <c r="AA6" s="35"/>
      <c r="AB6" s="35"/>
      <c r="AC6" s="35"/>
      <c r="AD6" s="35"/>
      <c r="AE6" s="35"/>
      <c r="AF6" s="35"/>
      <c r="AG6" s="35"/>
      <c r="AH6" s="35"/>
      <c r="AI6" s="35"/>
      <c r="AJ6" s="35"/>
      <c r="AK6" s="35"/>
      <c r="AL6" s="35"/>
      <c r="AM6" s="35"/>
      <c r="AN6" s="35"/>
      <c r="AO6" s="35"/>
      <c r="AP6" s="36"/>
      <c r="AQ6" s="36"/>
      <c r="AR6" s="36"/>
      <c r="AS6" s="36"/>
      <c r="AT6" s="36"/>
      <c r="AU6" s="36"/>
      <c r="AV6" s="36"/>
      <c r="AW6" s="36"/>
      <c r="AX6" s="36"/>
      <c r="AY6" s="36"/>
      <c r="AZ6" s="36"/>
      <c r="BA6" s="36"/>
      <c r="BB6" s="36"/>
      <c r="BC6" s="36"/>
      <c r="BD6" s="36"/>
      <c r="BE6" s="36"/>
      <c r="BF6" s="36"/>
      <c r="BG6" s="36"/>
    </row>
    <row r="7" spans="2:59" s="192" customFormat="1" ht="23.25" x14ac:dyDescent="0.2">
      <c r="B7" s="193" t="s">
        <v>565</v>
      </c>
      <c r="C7" s="194"/>
      <c r="D7" s="195"/>
      <c r="G7" s="194"/>
      <c r="H7" s="195"/>
      <c r="J7" s="196"/>
      <c r="P7" s="197"/>
      <c r="Q7" s="198"/>
      <c r="R7" s="199"/>
      <c r="S7" s="198"/>
      <c r="T7" s="200"/>
      <c r="U7" s="201"/>
      <c r="V7" s="201"/>
      <c r="W7" s="201"/>
      <c r="X7" s="201"/>
      <c r="Y7" s="201"/>
      <c r="Z7" s="201"/>
      <c r="AA7" s="201"/>
      <c r="AB7" s="201"/>
      <c r="AC7" s="201"/>
      <c r="AD7" s="201"/>
      <c r="AE7" s="201"/>
      <c r="AF7" s="201"/>
      <c r="AG7" s="201"/>
      <c r="AH7" s="201"/>
      <c r="AI7" s="201"/>
      <c r="AJ7" s="201"/>
      <c r="AK7" s="201"/>
      <c r="AL7" s="201"/>
      <c r="AM7" s="201"/>
      <c r="AN7" s="201"/>
      <c r="AO7" s="201"/>
      <c r="AP7" s="200"/>
      <c r="AQ7" s="200"/>
      <c r="AR7" s="200"/>
      <c r="AS7" s="200"/>
      <c r="AT7" s="200"/>
      <c r="AU7" s="200"/>
      <c r="AV7" s="200"/>
      <c r="AW7" s="200"/>
      <c r="AX7" s="200"/>
      <c r="AY7" s="200"/>
      <c r="AZ7" s="200"/>
      <c r="BA7" s="200"/>
      <c r="BB7" s="200"/>
      <c r="BC7" s="200"/>
      <c r="BD7" s="200"/>
      <c r="BE7" s="200"/>
      <c r="BF7" s="200"/>
      <c r="BG7" s="200"/>
    </row>
    <row r="8" spans="2:59" s="30" customFormat="1" ht="15" x14ac:dyDescent="0.2">
      <c r="C8" s="33"/>
      <c r="D8" s="81"/>
      <c r="G8" s="33"/>
      <c r="H8" s="81"/>
      <c r="J8" s="32"/>
      <c r="K8" s="33"/>
      <c r="L8" s="33"/>
      <c r="M8" s="81"/>
      <c r="N8" s="81"/>
      <c r="O8" s="81"/>
      <c r="Q8" s="129"/>
      <c r="R8" s="94"/>
      <c r="S8" s="104"/>
      <c r="T8" s="36"/>
      <c r="U8" s="35"/>
      <c r="V8" s="35"/>
      <c r="W8" s="35"/>
      <c r="X8" s="35"/>
      <c r="Y8" s="35"/>
      <c r="Z8" s="35"/>
      <c r="AA8" s="35"/>
      <c r="AB8" s="35"/>
      <c r="AC8" s="35"/>
      <c r="AD8" s="35"/>
      <c r="AE8" s="35"/>
      <c r="AF8" s="35"/>
      <c r="AG8" s="35"/>
      <c r="AH8" s="35"/>
      <c r="AI8" s="35"/>
      <c r="AJ8" s="35"/>
      <c r="AK8" s="35"/>
      <c r="AL8" s="35"/>
      <c r="AM8" s="35"/>
      <c r="AN8" s="35"/>
      <c r="AO8" s="35"/>
      <c r="AP8" s="36"/>
      <c r="AQ8" s="36"/>
      <c r="AR8" s="36"/>
      <c r="AS8" s="36"/>
      <c r="AT8" s="36"/>
      <c r="AU8" s="36"/>
      <c r="AV8" s="36"/>
      <c r="AW8" s="36"/>
      <c r="AX8" s="36"/>
      <c r="AY8" s="36"/>
      <c r="AZ8" s="36"/>
      <c r="BA8" s="36"/>
      <c r="BB8" s="36"/>
      <c r="BC8" s="36"/>
      <c r="BD8" s="36"/>
      <c r="BE8" s="36"/>
      <c r="BF8" s="36"/>
      <c r="BG8" s="36"/>
    </row>
    <row r="9" spans="2:59" s="289" customFormat="1" ht="18" x14ac:dyDescent="0.2">
      <c r="B9" s="286" t="s">
        <v>437</v>
      </c>
      <c r="C9" s="287"/>
      <c r="D9" s="288"/>
      <c r="G9" s="287"/>
      <c r="H9" s="288"/>
      <c r="K9" s="287"/>
      <c r="L9" s="287"/>
      <c r="M9" s="288"/>
      <c r="N9" s="288"/>
      <c r="O9" s="291"/>
      <c r="P9" s="311"/>
      <c r="Q9" s="295"/>
      <c r="S9" s="294"/>
      <c r="T9" s="294"/>
      <c r="U9" s="294"/>
      <c r="V9" s="294"/>
      <c r="W9" s="294"/>
      <c r="X9" s="294"/>
      <c r="Y9" s="294"/>
      <c r="Z9" s="294"/>
      <c r="AA9" s="294"/>
      <c r="AB9" s="294"/>
      <c r="AC9" s="294"/>
      <c r="AD9" s="294"/>
      <c r="AE9" s="294"/>
      <c r="AF9" s="294"/>
      <c r="AG9" s="294"/>
      <c r="AH9" s="294"/>
      <c r="AI9" s="294"/>
      <c r="AJ9" s="294"/>
      <c r="AK9" s="294"/>
      <c r="AL9" s="294"/>
      <c r="AM9" s="294"/>
      <c r="AN9" s="295"/>
      <c r="AO9" s="295"/>
      <c r="AP9" s="295"/>
      <c r="AQ9" s="295"/>
      <c r="AR9" s="295"/>
      <c r="AS9" s="295"/>
      <c r="AT9" s="295"/>
      <c r="AU9" s="295"/>
      <c r="AV9" s="295"/>
      <c r="AW9" s="295"/>
      <c r="AX9" s="295"/>
      <c r="AY9" s="295"/>
      <c r="AZ9" s="295"/>
      <c r="BA9" s="295"/>
      <c r="BB9" s="295"/>
      <c r="BC9" s="295"/>
      <c r="BD9" s="295"/>
      <c r="BE9" s="295"/>
    </row>
    <row r="10" spans="2:59" s="30" customFormat="1" ht="15.75" x14ac:dyDescent="0.2">
      <c r="B10" s="8"/>
      <c r="C10" s="33"/>
      <c r="D10" s="81"/>
      <c r="G10" s="33"/>
      <c r="H10" s="81"/>
      <c r="K10" s="37"/>
      <c r="L10" s="37"/>
      <c r="M10" s="81"/>
      <c r="N10" s="81"/>
      <c r="O10" s="249" t="s">
        <v>584</v>
      </c>
      <c r="Q10" s="34"/>
      <c r="R10" s="43" t="s">
        <v>318</v>
      </c>
      <c r="S10" s="35"/>
      <c r="T10" s="35"/>
      <c r="U10" s="35"/>
      <c r="V10" s="43"/>
      <c r="W10" s="35"/>
      <c r="X10" s="43"/>
      <c r="Y10" s="43"/>
      <c r="Z10" s="43"/>
      <c r="AA10" s="43"/>
      <c r="AB10" s="43"/>
      <c r="AC10" s="43"/>
      <c r="AD10" s="43"/>
      <c r="AE10" s="43"/>
      <c r="AF10" s="43"/>
      <c r="AG10" s="43"/>
      <c r="AH10" s="43"/>
      <c r="AI10" s="35"/>
      <c r="AJ10" s="35"/>
      <c r="AK10" s="35"/>
      <c r="AL10" s="35"/>
      <c r="AM10" s="35"/>
      <c r="AN10" s="36"/>
      <c r="AO10" s="36"/>
      <c r="AP10" s="36"/>
      <c r="AQ10" s="36"/>
      <c r="AR10" s="36"/>
      <c r="AS10" s="36"/>
      <c r="AT10" s="36"/>
      <c r="AU10" s="36"/>
      <c r="AV10" s="36"/>
      <c r="AW10" s="36"/>
      <c r="AX10" s="36"/>
      <c r="AY10" s="36"/>
      <c r="AZ10" s="36"/>
      <c r="BA10" s="36"/>
      <c r="BB10" s="36"/>
      <c r="BC10" s="36"/>
      <c r="BD10" s="36"/>
      <c r="BE10" s="36"/>
    </row>
    <row r="11" spans="2:59" s="30" customFormat="1" ht="15" x14ac:dyDescent="0.2">
      <c r="B11" s="168" t="s">
        <v>392</v>
      </c>
      <c r="C11" s="33"/>
      <c r="D11" s="81"/>
      <c r="G11" s="33"/>
      <c r="H11" s="81"/>
      <c r="K11" s="37" t="s">
        <v>297</v>
      </c>
      <c r="L11" s="37" t="s">
        <v>185</v>
      </c>
      <c r="M11" s="81"/>
      <c r="N11" s="81"/>
      <c r="O11" s="250"/>
      <c r="Q11" s="34"/>
      <c r="R11" s="35" t="s">
        <v>160</v>
      </c>
      <c r="S11" s="35"/>
      <c r="T11" s="35" t="s">
        <v>400</v>
      </c>
      <c r="U11" s="35" t="s">
        <v>399</v>
      </c>
      <c r="V11" s="43" t="s">
        <v>397</v>
      </c>
      <c r="W11" s="35" t="s">
        <v>398</v>
      </c>
      <c r="X11" s="43" t="s">
        <v>401</v>
      </c>
      <c r="Y11" s="43" t="s">
        <v>403</v>
      </c>
      <c r="Z11" s="43" t="s">
        <v>402</v>
      </c>
      <c r="AA11" s="43" t="s">
        <v>186</v>
      </c>
      <c r="AB11" s="43" t="s">
        <v>345</v>
      </c>
      <c r="AC11" s="43" t="s">
        <v>404</v>
      </c>
      <c r="AD11" s="43" t="s">
        <v>346</v>
      </c>
      <c r="AE11" s="43" t="s">
        <v>405</v>
      </c>
      <c r="AF11" s="43" t="s">
        <v>406</v>
      </c>
      <c r="AG11" s="43" t="s">
        <v>578</v>
      </c>
      <c r="AH11" s="35" t="s">
        <v>190</v>
      </c>
      <c r="AI11" s="35" t="s">
        <v>249</v>
      </c>
      <c r="AJ11" s="35" t="s">
        <v>191</v>
      </c>
      <c r="AK11" s="104"/>
      <c r="AL11" s="35"/>
      <c r="AM11" s="35"/>
      <c r="AN11" s="36"/>
      <c r="AO11" s="36"/>
      <c r="AP11" s="36"/>
      <c r="AQ11" s="36"/>
      <c r="AR11" s="36"/>
      <c r="AS11" s="36"/>
      <c r="AT11" s="36"/>
      <c r="AU11" s="36"/>
      <c r="AV11" s="36"/>
      <c r="AW11" s="36"/>
      <c r="AX11" s="36"/>
      <c r="AY11" s="36"/>
      <c r="AZ11" s="36"/>
      <c r="BA11" s="36"/>
      <c r="BB11" s="36"/>
      <c r="BC11" s="36"/>
      <c r="BD11" s="36"/>
      <c r="BE11" s="36"/>
    </row>
    <row r="12" spans="2:59" s="30" customFormat="1" ht="30" x14ac:dyDescent="0.2">
      <c r="B12" s="166" t="s">
        <v>455</v>
      </c>
      <c r="C12" s="471" t="s">
        <v>298</v>
      </c>
      <c r="D12" s="472"/>
      <c r="E12" s="472"/>
      <c r="F12" s="472"/>
      <c r="G12" s="473"/>
      <c r="H12" s="165"/>
      <c r="J12" s="169" t="s">
        <v>395</v>
      </c>
      <c r="K12" s="92" t="str">
        <f>IFERROR(IF(ISNUMBER(L12),L12,(VLOOKUP(C12,Kalusto!$C$45:$L$84,5,FALSE)*(VLOOKUP(C13,Muut!$D$40:$E$43,2,FALSE)))),"--")</f>
        <v>--</v>
      </c>
      <c r="L12" s="39"/>
      <c r="M12" s="40" t="s">
        <v>184</v>
      </c>
      <c r="N12" s="40"/>
      <c r="O12" s="259"/>
      <c r="Q12" s="45"/>
      <c r="R12" s="48" t="str">
        <f>IF(AND(NOT(ISNUMBER(AB12)),NOT(ISNUMBER(AG12))),"",IF(ISNUMBER(AB12),AB12,0)+IF(ISNUMBER(AG12),AG12,0))</f>
        <v/>
      </c>
      <c r="S12" s="98" t="s">
        <v>438</v>
      </c>
      <c r="T12" s="46" t="str">
        <f>IFERROR(IF(ISNUMBER(L12),"Kohdetieto",VLOOKUP(C12,Kalusto!$C$45:$L$84,7,FALSE)),"--")</f>
        <v>--</v>
      </c>
      <c r="U12" s="46" t="str">
        <f>IFERROR(IF(ISNUMBER(L12),"Kohdetieto",VLOOKUP(C12,Kalusto!$C$45:$L$84,8,FALSE)),"--")</f>
        <v>--</v>
      </c>
      <c r="V12" s="47" t="str">
        <f>IFERROR(IF(ISNUMBER(L12),"Kohdetieto",VLOOKUP(C12,Kalusto!$C$45:$L$84,9,FALSE)),"--")</f>
        <v>--</v>
      </c>
      <c r="W12" s="47" t="str">
        <f>IFERROR(IF(ISNUMBER(L12),"Kohdetieto",VLOOKUP(C12,Kalusto!$C$45:$L$84,10,FALSE)),"--")</f>
        <v>--</v>
      </c>
      <c r="X12" s="48" t="str">
        <f>IF(ISBLANK(C14),"",C14)</f>
        <v/>
      </c>
      <c r="Y12" s="46" t="str">
        <f>IF(ISNUMBER(C15),C15,"")</f>
        <v/>
      </c>
      <c r="Z12" s="48" t="str">
        <f>IF(ISNUMBER(X12/(U12*V12)*Y12),X12/(U12*V12)*Y12,"")</f>
        <v/>
      </c>
      <c r="AA12" s="49" t="str">
        <f>IF(ISNUMBER(L12),L12,K12)</f>
        <v>--</v>
      </c>
      <c r="AB12" s="48" t="str">
        <f>IF(ISNUMBER(Y12*X12*K12),Y12*X12*K12,"")</f>
        <v/>
      </c>
      <c r="AC12" s="48" t="str">
        <f>IF(C$27="Kyllä",Y12,"")</f>
        <v/>
      </c>
      <c r="AD12" s="48" t="str">
        <f>IF(C$27="Kyllä",IF(ISNUMBER(X12/(U12*V12)),CEILING(X12/(U12*V12),1),""),"")</f>
        <v/>
      </c>
      <c r="AE12" s="48" t="str">
        <f>IF(ISNUMBER(AD12*AC12),AD12*AC12,"")</f>
        <v/>
      </c>
      <c r="AF12" s="49" t="str">
        <f>IF(ISNUMBER(L14),L14,K14)</f>
        <v>--</v>
      </c>
      <c r="AG12" s="48" t="str">
        <f>IF(ISNUMBER(AC12*AD12*K14),AC12*AD12*K14,"")</f>
        <v/>
      </c>
      <c r="AH12" s="46">
        <f>IF(T12="Jakelukuorma-auto",0,IF(T12="Maansiirtoauto",4,IF(T12="Puoliperävaunu",6,8)))</f>
        <v>8</v>
      </c>
      <c r="AI12" s="46">
        <f>IF(AND(T12="Jakelukuorma-auto",U12=6),0,IF(AND(T12="Jakelukuorma-auto",U12=15),2,0))</f>
        <v>0</v>
      </c>
      <c r="AJ12" s="46">
        <f>IF(W12="maantieajo",0,1)</f>
        <v>1</v>
      </c>
      <c r="AK12" s="104"/>
      <c r="AL12" s="35"/>
      <c r="AM12" s="35"/>
      <c r="AN12" s="36"/>
      <c r="AO12" s="36"/>
      <c r="AP12" s="36"/>
      <c r="AQ12" s="36"/>
      <c r="AR12" s="36"/>
      <c r="AS12" s="36"/>
      <c r="AT12" s="36"/>
      <c r="AU12" s="36"/>
      <c r="AV12" s="36"/>
      <c r="AW12" s="36"/>
      <c r="AX12" s="36"/>
      <c r="AY12" s="36"/>
      <c r="AZ12" s="36"/>
      <c r="BA12" s="36"/>
      <c r="BB12" s="36"/>
      <c r="BC12" s="36"/>
      <c r="BD12" s="36"/>
      <c r="BE12" s="36"/>
    </row>
    <row r="13" spans="2:59" s="30" customFormat="1" ht="15" x14ac:dyDescent="0.2">
      <c r="B13" s="182" t="s">
        <v>457</v>
      </c>
      <c r="C13" s="156" t="s">
        <v>309</v>
      </c>
      <c r="D13" s="33"/>
      <c r="E13" s="33"/>
      <c r="F13" s="33"/>
      <c r="G13" s="33"/>
      <c r="H13" s="57"/>
      <c r="J13" s="169"/>
      <c r="K13" s="169"/>
      <c r="L13" s="169"/>
      <c r="M13" s="40"/>
      <c r="N13" s="40"/>
      <c r="O13" s="259"/>
      <c r="Q13" s="45"/>
      <c r="R13" s="35"/>
      <c r="S13" s="35"/>
      <c r="T13" s="35"/>
      <c r="U13" s="35"/>
      <c r="V13" s="177"/>
      <c r="W13" s="177"/>
      <c r="X13" s="59"/>
      <c r="Y13" s="35"/>
      <c r="Z13" s="59"/>
      <c r="AA13" s="178"/>
      <c r="AB13" s="59"/>
      <c r="AC13" s="59"/>
      <c r="AD13" s="59"/>
      <c r="AE13" s="59"/>
      <c r="AF13" s="178"/>
      <c r="AG13" s="59"/>
      <c r="AH13" s="35"/>
      <c r="AI13" s="35"/>
      <c r="AJ13" s="35"/>
      <c r="AK13" s="104"/>
      <c r="AL13" s="35"/>
      <c r="AM13" s="35"/>
      <c r="AN13" s="36"/>
      <c r="AO13" s="36"/>
      <c r="AP13" s="36"/>
      <c r="AQ13" s="36"/>
      <c r="AR13" s="36"/>
      <c r="AS13" s="36"/>
      <c r="AT13" s="36"/>
      <c r="AU13" s="36"/>
      <c r="AV13" s="36"/>
      <c r="AW13" s="36"/>
      <c r="AX13" s="36"/>
      <c r="AY13" s="36"/>
      <c r="AZ13" s="36"/>
      <c r="BA13" s="36"/>
      <c r="BB13" s="36"/>
      <c r="BC13" s="36"/>
      <c r="BD13" s="36"/>
      <c r="BE13" s="36"/>
    </row>
    <row r="14" spans="2:59" s="30" customFormat="1" ht="15" x14ac:dyDescent="0.2">
      <c r="B14" s="44" t="s">
        <v>521</v>
      </c>
      <c r="C14" s="152"/>
      <c r="D14" s="81" t="s">
        <v>52</v>
      </c>
      <c r="G14" s="33"/>
      <c r="H14" s="81"/>
      <c r="J14" s="32" t="s">
        <v>396</v>
      </c>
      <c r="K14" s="92" t="str">
        <f>IFERROR(IF(ISNUMBER(L14),L14,IF($C$27="Ei","",(VLOOKUP(C12,Kalusto!$C$45:$V$84,19,FALSE)*(VLOOKUP(C13,Muut!$D$40:$E$43,2,FALSE))))),"--")</f>
        <v>--</v>
      </c>
      <c r="L14" s="39"/>
      <c r="M14" s="40" t="s">
        <v>188</v>
      </c>
      <c r="N14" s="40"/>
      <c r="O14" s="259"/>
      <c r="P14" s="33"/>
      <c r="Q14" s="50"/>
      <c r="R14" s="48" t="str">
        <f>IF(ISNUMBER(R12),R12,"")</f>
        <v/>
      </c>
      <c r="S14" s="98" t="s">
        <v>439</v>
      </c>
      <c r="T14" s="35"/>
      <c r="U14" s="35"/>
      <c r="V14" s="35"/>
      <c r="W14" s="35"/>
      <c r="X14" s="35"/>
      <c r="Y14" s="35"/>
      <c r="Z14" s="35"/>
      <c r="AA14" s="35"/>
      <c r="AB14" s="35"/>
      <c r="AC14" s="35"/>
      <c r="AD14" s="35"/>
      <c r="AE14" s="35"/>
      <c r="AF14" s="35"/>
      <c r="AG14" s="35"/>
      <c r="AH14" s="35"/>
      <c r="AI14" s="35"/>
      <c r="AJ14" s="35"/>
      <c r="AK14" s="104"/>
      <c r="AL14" s="35"/>
      <c r="AM14" s="35"/>
      <c r="AN14" s="36"/>
      <c r="AO14" s="36"/>
      <c r="AP14" s="36"/>
      <c r="AQ14" s="36"/>
      <c r="AR14" s="36"/>
      <c r="AS14" s="36"/>
      <c r="AT14" s="36"/>
      <c r="AU14" s="36"/>
      <c r="AV14" s="36"/>
      <c r="AW14" s="36"/>
      <c r="AX14" s="36"/>
      <c r="AY14" s="36"/>
      <c r="AZ14" s="36"/>
      <c r="BA14" s="36"/>
      <c r="BB14" s="36"/>
      <c r="BC14" s="36"/>
      <c r="BD14" s="36"/>
      <c r="BE14" s="36"/>
    </row>
    <row r="15" spans="2:59" s="30" customFormat="1" ht="15" x14ac:dyDescent="0.2">
      <c r="B15" s="44" t="s">
        <v>522</v>
      </c>
      <c r="C15" s="152"/>
      <c r="D15" s="81" t="s">
        <v>5</v>
      </c>
      <c r="G15" s="33"/>
      <c r="H15" s="81"/>
      <c r="I15" s="51"/>
      <c r="J15" s="51"/>
      <c r="K15" s="33"/>
      <c r="L15" s="33"/>
      <c r="M15" s="81"/>
      <c r="N15" s="81"/>
      <c r="O15" s="96"/>
      <c r="P15" s="51"/>
      <c r="Q15" s="50"/>
      <c r="R15" s="43" t="s">
        <v>318</v>
      </c>
      <c r="S15" s="36"/>
      <c r="T15" s="35"/>
      <c r="U15" s="35"/>
      <c r="V15" s="43"/>
      <c r="W15" s="35"/>
      <c r="X15" s="43"/>
      <c r="Y15" s="43"/>
      <c r="Z15" s="43"/>
      <c r="AA15" s="43"/>
      <c r="AB15" s="43"/>
      <c r="AC15" s="43"/>
      <c r="AD15" s="43"/>
      <c r="AE15" s="43"/>
      <c r="AF15" s="43"/>
      <c r="AG15" s="43"/>
      <c r="AH15" s="43"/>
      <c r="AI15" s="35"/>
      <c r="AJ15" s="35"/>
      <c r="AK15" s="104"/>
      <c r="AL15" s="35"/>
      <c r="AM15" s="35"/>
      <c r="AN15" s="36"/>
      <c r="AO15" s="36"/>
      <c r="AP15" s="36"/>
      <c r="AQ15" s="36"/>
      <c r="AR15" s="36"/>
      <c r="AS15" s="36"/>
      <c r="AT15" s="36"/>
      <c r="AU15" s="36"/>
      <c r="AV15" s="36"/>
      <c r="AW15" s="36"/>
      <c r="AX15" s="36"/>
      <c r="AY15" s="36"/>
      <c r="AZ15" s="36"/>
      <c r="BA15" s="36"/>
      <c r="BB15" s="36"/>
      <c r="BC15" s="36"/>
      <c r="BD15" s="36"/>
      <c r="BE15" s="36"/>
    </row>
    <row r="16" spans="2:59" s="30" customFormat="1" ht="15" x14ac:dyDescent="0.2">
      <c r="B16" s="168" t="s">
        <v>393</v>
      </c>
      <c r="C16" s="33"/>
      <c r="D16" s="81"/>
      <c r="G16" s="33"/>
      <c r="H16" s="81"/>
      <c r="J16" s="32"/>
      <c r="K16" s="37" t="s">
        <v>297</v>
      </c>
      <c r="L16" s="37" t="s">
        <v>185</v>
      </c>
      <c r="M16" s="81"/>
      <c r="N16" s="81"/>
      <c r="O16" s="96"/>
      <c r="P16" s="33"/>
      <c r="Q16" s="34"/>
      <c r="R16" s="35" t="s">
        <v>160</v>
      </c>
      <c r="S16" s="35"/>
      <c r="T16" s="35" t="s">
        <v>400</v>
      </c>
      <c r="U16" s="35" t="s">
        <v>399</v>
      </c>
      <c r="V16" s="43" t="s">
        <v>397</v>
      </c>
      <c r="W16" s="35" t="s">
        <v>398</v>
      </c>
      <c r="X16" s="43" t="s">
        <v>401</v>
      </c>
      <c r="Y16" s="43" t="s">
        <v>403</v>
      </c>
      <c r="Z16" s="43" t="s">
        <v>402</v>
      </c>
      <c r="AA16" s="43" t="s">
        <v>186</v>
      </c>
      <c r="AB16" s="43" t="s">
        <v>345</v>
      </c>
      <c r="AC16" s="43" t="s">
        <v>404</v>
      </c>
      <c r="AD16" s="43" t="s">
        <v>346</v>
      </c>
      <c r="AE16" s="43" t="s">
        <v>405</v>
      </c>
      <c r="AF16" s="43" t="s">
        <v>406</v>
      </c>
      <c r="AG16" s="43" t="s">
        <v>578</v>
      </c>
      <c r="AH16" s="35" t="s">
        <v>190</v>
      </c>
      <c r="AI16" s="35" t="s">
        <v>249</v>
      </c>
      <c r="AJ16" s="35" t="s">
        <v>191</v>
      </c>
      <c r="AK16" s="104"/>
      <c r="AL16" s="35"/>
      <c r="AM16" s="35"/>
      <c r="AN16" s="36"/>
      <c r="AO16" s="36"/>
      <c r="AP16" s="36"/>
      <c r="AQ16" s="36"/>
      <c r="AR16" s="36"/>
      <c r="AS16" s="36"/>
      <c r="AT16" s="36"/>
      <c r="AU16" s="36"/>
      <c r="AV16" s="36"/>
      <c r="AW16" s="36"/>
      <c r="AX16" s="36"/>
      <c r="AY16" s="36"/>
      <c r="AZ16" s="36"/>
      <c r="BA16" s="36"/>
      <c r="BB16" s="36"/>
      <c r="BC16" s="36"/>
      <c r="BD16" s="36"/>
      <c r="BE16" s="36"/>
    </row>
    <row r="17" spans="2:57" s="30" customFormat="1" ht="30" x14ac:dyDescent="0.2">
      <c r="B17" s="166" t="s">
        <v>455</v>
      </c>
      <c r="C17" s="471" t="s">
        <v>298</v>
      </c>
      <c r="D17" s="472"/>
      <c r="E17" s="472"/>
      <c r="F17" s="472"/>
      <c r="G17" s="473"/>
      <c r="H17" s="165"/>
      <c r="J17" s="169" t="s">
        <v>395</v>
      </c>
      <c r="K17" s="92" t="str">
        <f>IFERROR(IF(ISNUMBER(L17),L17,(VLOOKUP(C17,Kalusto!$C$45:$L$84,5,FALSE)*(VLOOKUP(C18,Muut!$D$40:$E$43,2,FALSE)))),"--")</f>
        <v>--</v>
      </c>
      <c r="L17" s="39"/>
      <c r="M17" s="40" t="s">
        <v>184</v>
      </c>
      <c r="N17" s="40"/>
      <c r="O17" s="259"/>
      <c r="Q17" s="45"/>
      <c r="R17" s="48" t="str">
        <f>IF(AND(NOT(ISNUMBER(AB17)),NOT(ISNUMBER(AG17))),"",IF(ISNUMBER(AB17),AB17,0)+IF(ISNUMBER(AG17),AG17,0))</f>
        <v/>
      </c>
      <c r="S17" s="98" t="s">
        <v>438</v>
      </c>
      <c r="T17" s="46" t="str">
        <f>IFERROR(IF(ISNUMBER(L17),"Kohdetieto",VLOOKUP(C17,Kalusto!$C$45:$L$84,7,FALSE)),"--")</f>
        <v>--</v>
      </c>
      <c r="U17" s="46" t="str">
        <f>IFERROR(IF(ISNUMBER(L17),"Kohdetieto",VLOOKUP(C17,Kalusto!$C$45:$L$84,8,FALSE)),"--")</f>
        <v>--</v>
      </c>
      <c r="V17" s="47" t="str">
        <f>IFERROR(IF(ISNUMBER(L17),"Kohdetieto",VLOOKUP(C17,Kalusto!$C$45:$L$84,9,FALSE)),"--")</f>
        <v>--</v>
      </c>
      <c r="W17" s="47" t="str">
        <f>IFERROR(IF(ISNUMBER(L17),"Kohdetieto",VLOOKUP(C17,Kalusto!$C$45:$L$84,10,FALSE)),"--")</f>
        <v>--</v>
      </c>
      <c r="X17" s="48" t="str">
        <f>IF(ISBLANK(C19),"",C19)</f>
        <v/>
      </c>
      <c r="Y17" s="46" t="str">
        <f>IF(ISNUMBER(C20),C20,"")</f>
        <v/>
      </c>
      <c r="Z17" s="48" t="str">
        <f>IF(ISNUMBER(X17/(U17*V17)*Y17),X17/(U17*V17)*Y17,"")</f>
        <v/>
      </c>
      <c r="AA17" s="49" t="str">
        <f>IF(ISNUMBER(L17),L17,K17)</f>
        <v>--</v>
      </c>
      <c r="AB17" s="48" t="str">
        <f>IF(ISNUMBER(Y17*X17*K17),Y17*X17*K17,"")</f>
        <v/>
      </c>
      <c r="AC17" s="48" t="str">
        <f>IF(C$27="Kyllä",Y17,"")</f>
        <v/>
      </c>
      <c r="AD17" s="48" t="str">
        <f>IF(C$27="Kyllä",IF(ISNUMBER(X17/(U17*V17)),CEILING(X17/(U17*V17),1),""),"")</f>
        <v/>
      </c>
      <c r="AE17" s="48" t="str">
        <f>IF(ISNUMBER(AD17*AC17),AD17*AC17,"")</f>
        <v/>
      </c>
      <c r="AF17" s="49" t="str">
        <f>IF(ISNUMBER(L19),L19,K19)</f>
        <v>--</v>
      </c>
      <c r="AG17" s="48" t="str">
        <f>IF(ISNUMBER(AC17*AD17*K19),AC17*AD17*K19,"")</f>
        <v/>
      </c>
      <c r="AH17" s="46">
        <f>IF(T17="Jakelukuorma-auto",0,IF(T17="Maansiirtoauto",4,IF(T17="Puoliperävaunu",6,8)))</f>
        <v>8</v>
      </c>
      <c r="AI17" s="46">
        <f>IF(AND(T17="Jakelukuorma-auto",U17=6),0,IF(AND(T17="Jakelukuorma-auto",U17=15),2,0))</f>
        <v>0</v>
      </c>
      <c r="AJ17" s="46">
        <f>IF(W17="maantieajo",0,1)</f>
        <v>1</v>
      </c>
      <c r="AK17" s="104"/>
      <c r="AL17" s="35"/>
      <c r="AM17" s="35"/>
      <c r="AN17" s="36"/>
      <c r="AO17" s="36"/>
      <c r="AP17" s="36"/>
      <c r="AQ17" s="36"/>
      <c r="AR17" s="36"/>
      <c r="AS17" s="36"/>
      <c r="AT17" s="36"/>
      <c r="AU17" s="36"/>
      <c r="AV17" s="36"/>
      <c r="AW17" s="36"/>
      <c r="AX17" s="36"/>
      <c r="AY17" s="36"/>
      <c r="AZ17" s="36"/>
      <c r="BA17" s="36"/>
      <c r="BB17" s="36"/>
      <c r="BC17" s="36"/>
      <c r="BD17" s="36"/>
      <c r="BE17" s="36"/>
    </row>
    <row r="18" spans="2:57" s="30" customFormat="1" ht="15" x14ac:dyDescent="0.2">
      <c r="B18" s="182" t="s">
        <v>457</v>
      </c>
      <c r="C18" s="156" t="s">
        <v>309</v>
      </c>
      <c r="D18" s="33"/>
      <c r="E18" s="33"/>
      <c r="F18" s="33"/>
      <c r="G18" s="33"/>
      <c r="H18" s="57"/>
      <c r="J18" s="169"/>
      <c r="K18" s="169"/>
      <c r="L18" s="169"/>
      <c r="M18" s="40"/>
      <c r="N18" s="40"/>
      <c r="O18" s="259"/>
      <c r="Q18" s="45"/>
      <c r="R18" s="35"/>
      <c r="S18" s="35"/>
      <c r="T18" s="35"/>
      <c r="U18" s="35"/>
      <c r="V18" s="177"/>
      <c r="W18" s="177"/>
      <c r="X18" s="59"/>
      <c r="Y18" s="35"/>
      <c r="Z18" s="59"/>
      <c r="AA18" s="178"/>
      <c r="AB18" s="59"/>
      <c r="AC18" s="59"/>
      <c r="AD18" s="59"/>
      <c r="AE18" s="59"/>
      <c r="AF18" s="178"/>
      <c r="AG18" s="59"/>
      <c r="AH18" s="35"/>
      <c r="AI18" s="35"/>
      <c r="AJ18" s="35"/>
      <c r="AK18" s="104"/>
      <c r="AL18" s="35"/>
      <c r="AM18" s="35"/>
      <c r="AN18" s="36"/>
      <c r="AO18" s="36"/>
      <c r="AP18" s="36"/>
      <c r="AQ18" s="36"/>
      <c r="AR18" s="36"/>
      <c r="AS18" s="36"/>
      <c r="AT18" s="36"/>
      <c r="AU18" s="36"/>
      <c r="AV18" s="36"/>
      <c r="AW18" s="36"/>
      <c r="AX18" s="36"/>
      <c r="AY18" s="36"/>
      <c r="AZ18" s="36"/>
      <c r="BA18" s="36"/>
      <c r="BB18" s="36"/>
      <c r="BC18" s="36"/>
      <c r="BD18" s="36"/>
      <c r="BE18" s="36"/>
    </row>
    <row r="19" spans="2:57" s="30" customFormat="1" ht="15" x14ac:dyDescent="0.2">
      <c r="B19" s="44" t="s">
        <v>521</v>
      </c>
      <c r="C19" s="153"/>
      <c r="D19" s="81" t="s">
        <v>52</v>
      </c>
      <c r="G19" s="33"/>
      <c r="H19" s="81"/>
      <c r="J19" s="32" t="s">
        <v>396</v>
      </c>
      <c r="K19" s="92" t="str">
        <f>IFERROR(IF(ISNUMBER(L19),L19,IF($C$27="Ei","",(VLOOKUP(C17,Kalusto!$C$45:$V$84,19,FALSE)*(VLOOKUP(C18,Muut!$D$40:$E$43,2,FALSE))))),"--")</f>
        <v>--</v>
      </c>
      <c r="L19" s="39"/>
      <c r="M19" s="40" t="s">
        <v>188</v>
      </c>
      <c r="N19" s="40"/>
      <c r="O19" s="259"/>
      <c r="P19" s="33"/>
      <c r="Q19" s="50"/>
      <c r="R19" s="48" t="str">
        <f>IF(ISNUMBER(R17),R17,"")</f>
        <v/>
      </c>
      <c r="S19" s="98" t="s">
        <v>439</v>
      </c>
      <c r="T19" s="35"/>
      <c r="U19" s="35"/>
      <c r="V19" s="35"/>
      <c r="W19" s="35"/>
      <c r="X19" s="35"/>
      <c r="Y19" s="35"/>
      <c r="Z19" s="35"/>
      <c r="AA19" s="35"/>
      <c r="AB19" s="35"/>
      <c r="AC19" s="35"/>
      <c r="AD19" s="35"/>
      <c r="AE19" s="35"/>
      <c r="AF19" s="35"/>
      <c r="AG19" s="35"/>
      <c r="AH19" s="35"/>
      <c r="AI19" s="35"/>
      <c r="AJ19" s="35"/>
      <c r="AK19" s="104"/>
      <c r="AL19" s="35"/>
      <c r="AM19" s="35"/>
      <c r="AN19" s="36"/>
      <c r="AO19" s="36"/>
      <c r="AP19" s="36"/>
      <c r="AQ19" s="36"/>
      <c r="AR19" s="36"/>
      <c r="AS19" s="36"/>
      <c r="AT19" s="36"/>
      <c r="AU19" s="36"/>
      <c r="AV19" s="36"/>
      <c r="AW19" s="36"/>
      <c r="AX19" s="36"/>
      <c r="AY19" s="36"/>
      <c r="AZ19" s="36"/>
      <c r="BA19" s="36"/>
      <c r="BB19" s="36"/>
      <c r="BC19" s="36"/>
      <c r="BD19" s="36"/>
      <c r="BE19" s="36"/>
    </row>
    <row r="20" spans="2:57" s="30" customFormat="1" ht="15" x14ac:dyDescent="0.2">
      <c r="B20" s="44" t="s">
        <v>522</v>
      </c>
      <c r="C20" s="154"/>
      <c r="D20" s="81" t="s">
        <v>5</v>
      </c>
      <c r="G20" s="33"/>
      <c r="H20" s="81"/>
      <c r="I20" s="51"/>
      <c r="J20" s="51"/>
      <c r="K20" s="33"/>
      <c r="L20" s="33"/>
      <c r="M20" s="81"/>
      <c r="N20" s="81"/>
      <c r="O20" s="96"/>
      <c r="P20" s="51"/>
      <c r="Q20" s="50"/>
      <c r="R20" s="43" t="s">
        <v>318</v>
      </c>
      <c r="S20" s="35"/>
      <c r="T20" s="35"/>
      <c r="U20" s="35"/>
      <c r="V20" s="43"/>
      <c r="W20" s="35"/>
      <c r="X20" s="43"/>
      <c r="Y20" s="43"/>
      <c r="Z20" s="43"/>
      <c r="AA20" s="43"/>
      <c r="AB20" s="43"/>
      <c r="AC20" s="43"/>
      <c r="AD20" s="43"/>
      <c r="AE20" s="43"/>
      <c r="AF20" s="43"/>
      <c r="AG20" s="43"/>
      <c r="AH20" s="43"/>
      <c r="AI20" s="35"/>
      <c r="AJ20" s="35"/>
      <c r="AK20" s="104"/>
      <c r="AL20" s="35"/>
      <c r="AM20" s="35"/>
      <c r="AN20" s="36"/>
      <c r="AO20" s="36"/>
      <c r="AP20" s="36"/>
      <c r="AQ20" s="36"/>
      <c r="AR20" s="36"/>
      <c r="AS20" s="36"/>
      <c r="AT20" s="36"/>
      <c r="AU20" s="36"/>
      <c r="AV20" s="36"/>
      <c r="AW20" s="36"/>
      <c r="AX20" s="36"/>
      <c r="AY20" s="36"/>
      <c r="AZ20" s="36"/>
      <c r="BA20" s="36"/>
      <c r="BB20" s="36"/>
      <c r="BC20" s="36"/>
      <c r="BD20" s="36"/>
      <c r="BE20" s="36"/>
    </row>
    <row r="21" spans="2:57" s="30" customFormat="1" ht="15" x14ac:dyDescent="0.2">
      <c r="B21" s="168" t="s">
        <v>394</v>
      </c>
      <c r="C21" s="33"/>
      <c r="D21" s="81"/>
      <c r="G21" s="33"/>
      <c r="H21" s="81"/>
      <c r="J21" s="32"/>
      <c r="K21" s="37" t="s">
        <v>297</v>
      </c>
      <c r="L21" s="37" t="s">
        <v>185</v>
      </c>
      <c r="M21" s="81"/>
      <c r="N21" s="81"/>
      <c r="O21" s="96"/>
      <c r="P21" s="33"/>
      <c r="Q21" s="34"/>
      <c r="R21" s="35" t="s">
        <v>160</v>
      </c>
      <c r="S21" s="35"/>
      <c r="T21" s="35" t="s">
        <v>400</v>
      </c>
      <c r="U21" s="35" t="s">
        <v>399</v>
      </c>
      <c r="V21" s="43" t="s">
        <v>397</v>
      </c>
      <c r="W21" s="35" t="s">
        <v>398</v>
      </c>
      <c r="X21" s="43" t="s">
        <v>401</v>
      </c>
      <c r="Y21" s="43" t="s">
        <v>403</v>
      </c>
      <c r="Z21" s="43" t="s">
        <v>402</v>
      </c>
      <c r="AA21" s="43" t="s">
        <v>186</v>
      </c>
      <c r="AB21" s="43" t="s">
        <v>345</v>
      </c>
      <c r="AC21" s="43" t="s">
        <v>404</v>
      </c>
      <c r="AD21" s="43" t="s">
        <v>346</v>
      </c>
      <c r="AE21" s="43" t="s">
        <v>405</v>
      </c>
      <c r="AF21" s="43" t="s">
        <v>406</v>
      </c>
      <c r="AG21" s="43" t="s">
        <v>578</v>
      </c>
      <c r="AH21" s="35" t="s">
        <v>190</v>
      </c>
      <c r="AI21" s="35" t="s">
        <v>249</v>
      </c>
      <c r="AJ21" s="35" t="s">
        <v>191</v>
      </c>
      <c r="AK21" s="104"/>
      <c r="AL21" s="35"/>
      <c r="AM21" s="35"/>
      <c r="AN21" s="36"/>
      <c r="AO21" s="36"/>
      <c r="AP21" s="36"/>
      <c r="AQ21" s="36"/>
      <c r="AR21" s="36"/>
      <c r="AS21" s="36"/>
      <c r="AT21" s="36"/>
      <c r="AU21" s="36"/>
      <c r="AV21" s="36"/>
      <c r="AW21" s="36"/>
      <c r="AX21" s="36"/>
      <c r="AY21" s="36"/>
      <c r="AZ21" s="36"/>
      <c r="BA21" s="36"/>
      <c r="BB21" s="36"/>
      <c r="BC21" s="36"/>
      <c r="BD21" s="36"/>
      <c r="BE21" s="36"/>
    </row>
    <row r="22" spans="2:57" s="30" customFormat="1" ht="30" x14ac:dyDescent="0.2">
      <c r="B22" s="166" t="s">
        <v>455</v>
      </c>
      <c r="C22" s="471" t="s">
        <v>298</v>
      </c>
      <c r="D22" s="472"/>
      <c r="E22" s="472"/>
      <c r="F22" s="472"/>
      <c r="G22" s="473"/>
      <c r="H22" s="165"/>
      <c r="J22" s="169" t="s">
        <v>395</v>
      </c>
      <c r="K22" s="92" t="str">
        <f>IFERROR(IF(ISNUMBER(L22),L22,(VLOOKUP(C22,Kalusto!$C$45:$L$84,5,FALSE)*(VLOOKUP(C23,Muut!$D$40:$E$43,2,FALSE)))),"--")</f>
        <v>--</v>
      </c>
      <c r="L22" s="39"/>
      <c r="M22" s="40" t="s">
        <v>184</v>
      </c>
      <c r="N22" s="40"/>
      <c r="O22" s="259"/>
      <c r="Q22" s="45"/>
      <c r="R22" s="48" t="str">
        <f>IF(AND(NOT(ISNUMBER(AB22)),NOT(ISNUMBER(AG22))),"",IF(ISNUMBER(AB22),AB22,0)+IF(ISNUMBER(AG22),AG22,0))</f>
        <v/>
      </c>
      <c r="S22" s="98" t="s">
        <v>438</v>
      </c>
      <c r="T22" s="46" t="str">
        <f>IFERROR(IF(ISNUMBER(L22),"Kohdetieto",VLOOKUP(C22,Kalusto!$C$45:$L$84,7,FALSE)),"--")</f>
        <v>--</v>
      </c>
      <c r="U22" s="46" t="str">
        <f>IFERROR(IF(ISNUMBER(L22),"Kohdetieto",VLOOKUP(C22,Kalusto!$C$45:$L$84,8,FALSE)),"--")</f>
        <v>--</v>
      </c>
      <c r="V22" s="47" t="str">
        <f>IFERROR(IF(ISNUMBER(L22),"Kohdetieto",VLOOKUP(C22,Kalusto!$C$45:$L$84,9,FALSE)),"--")</f>
        <v>--</v>
      </c>
      <c r="W22" s="47" t="str">
        <f>IFERROR(IF(ISNUMBER(L22),"Kohdetieto",VLOOKUP(C22,Kalusto!$C$45:$L$84,10,FALSE)),"--")</f>
        <v>--</v>
      </c>
      <c r="X22" s="48" t="str">
        <f>IF(ISBLANK(C24),"",C24)</f>
        <v/>
      </c>
      <c r="Y22" s="46" t="str">
        <f>IF(ISNUMBER(C25),C25,"")</f>
        <v/>
      </c>
      <c r="Z22" s="48" t="str">
        <f>IF(ISNUMBER(X22/(U22*V22)*Y22),X22/(U22*V22)*Y22,"")</f>
        <v/>
      </c>
      <c r="AA22" s="49" t="str">
        <f>IF(ISNUMBER(L22),L22,K22)</f>
        <v>--</v>
      </c>
      <c r="AB22" s="48" t="str">
        <f>IF(ISNUMBER(Y22*X22*K22),Y22*X22*K22,"")</f>
        <v/>
      </c>
      <c r="AC22" s="48" t="str">
        <f>IF(C$27="Kyllä",Y22,"")</f>
        <v/>
      </c>
      <c r="AD22" s="48" t="str">
        <f>IF(C$27="Kyllä",IF(ISNUMBER(X22/(U22*V22)),CEILING(X22/(U22*V22),1),""),"")</f>
        <v/>
      </c>
      <c r="AE22" s="48" t="str">
        <f>IF(ISNUMBER(AD22*AC22),AD22*AC22,"")</f>
        <v/>
      </c>
      <c r="AF22" s="49" t="str">
        <f>IF(ISNUMBER(L24),L24,K24)</f>
        <v>--</v>
      </c>
      <c r="AG22" s="48" t="str">
        <f>IF(ISNUMBER(AC22*AD22*K24),AC22*AD22*K24,"")</f>
        <v/>
      </c>
      <c r="AH22" s="46">
        <f>IF(T22="Jakelukuorma-auto",0,IF(T22="Maansiirtoauto",4,IF(T22="Puoliperävaunu",6,8)))</f>
        <v>8</v>
      </c>
      <c r="AI22" s="46">
        <f>IF(AND(T22="Jakelukuorma-auto",U22=6),0,IF(AND(T22="Jakelukuorma-auto",U22=15),2,0))</f>
        <v>0</v>
      </c>
      <c r="AJ22" s="46">
        <f>IF(W22="maantieajo",0,1)</f>
        <v>1</v>
      </c>
      <c r="AK22" s="104"/>
      <c r="AL22" s="35"/>
      <c r="AM22" s="35"/>
      <c r="AN22" s="36"/>
      <c r="AO22" s="36"/>
      <c r="AP22" s="36"/>
      <c r="AQ22" s="36"/>
      <c r="AR22" s="36"/>
      <c r="AS22" s="36"/>
      <c r="AT22" s="36"/>
      <c r="AU22" s="36"/>
      <c r="AV22" s="36"/>
      <c r="AW22" s="36"/>
      <c r="AX22" s="36"/>
      <c r="AY22" s="36"/>
      <c r="AZ22" s="36"/>
      <c r="BA22" s="36"/>
      <c r="BB22" s="36"/>
      <c r="BC22" s="36"/>
      <c r="BD22" s="36"/>
      <c r="BE22" s="36"/>
    </row>
    <row r="23" spans="2:57" s="30" customFormat="1" ht="15" x14ac:dyDescent="0.2">
      <c r="B23" s="182" t="s">
        <v>457</v>
      </c>
      <c r="C23" s="156" t="s">
        <v>309</v>
      </c>
      <c r="D23" s="33"/>
      <c r="E23" s="33"/>
      <c r="F23" s="33"/>
      <c r="G23" s="33"/>
      <c r="H23" s="57"/>
      <c r="J23" s="169"/>
      <c r="K23" s="169"/>
      <c r="L23" s="169"/>
      <c r="M23" s="40"/>
      <c r="N23" s="40"/>
      <c r="O23" s="259"/>
      <c r="Q23" s="45"/>
      <c r="R23" s="35"/>
      <c r="S23" s="35"/>
      <c r="T23" s="35"/>
      <c r="U23" s="35"/>
      <c r="V23" s="177"/>
      <c r="W23" s="177"/>
      <c r="X23" s="59"/>
      <c r="Y23" s="35"/>
      <c r="Z23" s="59"/>
      <c r="AA23" s="178"/>
      <c r="AB23" s="59"/>
      <c r="AC23" s="59"/>
      <c r="AD23" s="59"/>
      <c r="AE23" s="59"/>
      <c r="AF23" s="178"/>
      <c r="AG23" s="59"/>
      <c r="AH23" s="35"/>
      <c r="AI23" s="35"/>
      <c r="AJ23" s="35"/>
      <c r="AK23" s="104"/>
      <c r="AL23" s="35"/>
      <c r="AM23" s="35"/>
      <c r="AN23" s="36"/>
      <c r="AO23" s="36"/>
      <c r="AP23" s="36"/>
      <c r="AQ23" s="36"/>
      <c r="AR23" s="36"/>
      <c r="AS23" s="36"/>
      <c r="AT23" s="36"/>
      <c r="AU23" s="36"/>
      <c r="AV23" s="36"/>
      <c r="AW23" s="36"/>
      <c r="AX23" s="36"/>
      <c r="AY23" s="36"/>
      <c r="AZ23" s="36"/>
      <c r="BA23" s="36"/>
      <c r="BB23" s="36"/>
      <c r="BC23" s="36"/>
      <c r="BD23" s="36"/>
      <c r="BE23" s="36"/>
    </row>
    <row r="24" spans="2:57" s="30" customFormat="1" ht="15" x14ac:dyDescent="0.2">
      <c r="B24" s="44" t="s">
        <v>456</v>
      </c>
      <c r="C24" s="152"/>
      <c r="D24" s="81" t="s">
        <v>52</v>
      </c>
      <c r="G24" s="33"/>
      <c r="H24" s="81"/>
      <c r="J24" s="32" t="s">
        <v>396</v>
      </c>
      <c r="K24" s="92" t="str">
        <f>IFERROR(IF(ISNUMBER(L24),L24,IF($C$27="Ei","",(VLOOKUP(C22,Kalusto!$C$45:$V$84,19,FALSE)*(VLOOKUP(C23,Muut!$D$40:$E$43,2,FALSE))))),"--")</f>
        <v>--</v>
      </c>
      <c r="L24" s="39"/>
      <c r="M24" s="40" t="s">
        <v>188</v>
      </c>
      <c r="N24" s="40"/>
      <c r="O24" s="259"/>
      <c r="P24" s="33"/>
      <c r="Q24" s="50"/>
      <c r="R24" s="48" t="str">
        <f>IF(ISNUMBER(R22),R22,"")</f>
        <v/>
      </c>
      <c r="S24" s="98" t="s">
        <v>439</v>
      </c>
      <c r="T24" s="35"/>
      <c r="U24" s="35"/>
      <c r="V24" s="35"/>
      <c r="W24" s="35"/>
      <c r="X24" s="35"/>
      <c r="Y24" s="35"/>
      <c r="Z24" s="35"/>
      <c r="AA24" s="35"/>
      <c r="AB24" s="35"/>
      <c r="AC24" s="35"/>
      <c r="AD24" s="35"/>
      <c r="AE24" s="35"/>
      <c r="AF24" s="35"/>
      <c r="AG24" s="35"/>
      <c r="AH24" s="35"/>
      <c r="AI24" s="35"/>
      <c r="AJ24" s="35"/>
      <c r="AK24" s="35"/>
      <c r="AL24" s="35"/>
      <c r="AM24" s="35"/>
      <c r="AN24" s="36"/>
      <c r="AO24" s="36"/>
      <c r="AP24" s="36"/>
      <c r="AQ24" s="36"/>
      <c r="AR24" s="36"/>
      <c r="AS24" s="36"/>
      <c r="AT24" s="36"/>
      <c r="AU24" s="36"/>
      <c r="AV24" s="36"/>
      <c r="AW24" s="36"/>
      <c r="AX24" s="36"/>
      <c r="AY24" s="36"/>
      <c r="AZ24" s="36"/>
      <c r="BA24" s="36"/>
      <c r="BB24" s="36"/>
      <c r="BC24" s="36"/>
      <c r="BD24" s="36"/>
      <c r="BE24" s="36"/>
    </row>
    <row r="25" spans="2:57" s="30" customFormat="1" ht="15" x14ac:dyDescent="0.2">
      <c r="B25" s="44" t="s">
        <v>458</v>
      </c>
      <c r="C25" s="152"/>
      <c r="D25" s="81" t="s">
        <v>5</v>
      </c>
      <c r="G25" s="33"/>
      <c r="H25" s="81"/>
      <c r="I25" s="51"/>
      <c r="J25" s="51"/>
      <c r="K25" s="33"/>
      <c r="L25" s="33"/>
      <c r="M25" s="81"/>
      <c r="N25" s="81"/>
      <c r="O25" s="96"/>
      <c r="P25" s="51"/>
      <c r="Q25" s="50"/>
      <c r="R25" s="35"/>
      <c r="S25" s="35"/>
      <c r="T25" s="35"/>
      <c r="U25" s="35"/>
      <c r="V25" s="35"/>
      <c r="W25" s="35"/>
      <c r="X25" s="35"/>
      <c r="Y25" s="35"/>
      <c r="Z25" s="35"/>
      <c r="AA25" s="35"/>
      <c r="AB25" s="35"/>
      <c r="AC25" s="35"/>
      <c r="AD25" s="35"/>
      <c r="AE25" s="35"/>
      <c r="AF25" s="35"/>
      <c r="AG25" s="35"/>
      <c r="AH25" s="35"/>
      <c r="AI25" s="35"/>
      <c r="AJ25" s="35"/>
      <c r="AK25" s="35"/>
      <c r="AL25" s="35"/>
      <c r="AM25" s="35"/>
      <c r="AN25" s="36"/>
      <c r="AO25" s="36"/>
      <c r="AP25" s="36"/>
      <c r="AQ25" s="36"/>
      <c r="AR25" s="36"/>
      <c r="AS25" s="36"/>
      <c r="AT25" s="36"/>
      <c r="AU25" s="36"/>
      <c r="AV25" s="36"/>
      <c r="AW25" s="36"/>
      <c r="AX25" s="36"/>
      <c r="AY25" s="36"/>
      <c r="AZ25" s="36"/>
      <c r="BA25" s="36"/>
      <c r="BB25" s="36"/>
      <c r="BC25" s="36"/>
      <c r="BD25" s="36"/>
      <c r="BE25" s="36"/>
    </row>
    <row r="26" spans="2:57" s="30" customFormat="1" ht="15" x14ac:dyDescent="0.2">
      <c r="C26" s="33"/>
      <c r="D26" s="81"/>
      <c r="G26" s="33"/>
      <c r="H26" s="81"/>
      <c r="J26" s="32"/>
      <c r="K26" s="33"/>
      <c r="L26" s="33"/>
      <c r="M26" s="81"/>
      <c r="N26" s="81"/>
      <c r="O26" s="96"/>
      <c r="Q26" s="34"/>
      <c r="R26" s="35"/>
      <c r="S26" s="35"/>
      <c r="T26" s="35"/>
      <c r="U26" s="35"/>
      <c r="V26" s="35"/>
      <c r="W26" s="35"/>
      <c r="X26" s="35"/>
      <c r="Y26" s="35"/>
      <c r="Z26" s="35"/>
      <c r="AA26" s="35"/>
      <c r="AB26" s="35"/>
      <c r="AC26" s="35"/>
      <c r="AD26" s="35"/>
      <c r="AE26" s="35"/>
      <c r="AF26" s="35"/>
      <c r="AG26" s="35"/>
      <c r="AH26" s="35"/>
      <c r="AI26" s="35"/>
      <c r="AJ26" s="35"/>
      <c r="AK26" s="35"/>
      <c r="AL26" s="35"/>
      <c r="AM26" s="35"/>
      <c r="AN26" s="36"/>
      <c r="AO26" s="36"/>
      <c r="AP26" s="36"/>
      <c r="AQ26" s="36"/>
      <c r="AR26" s="36"/>
      <c r="AS26" s="36"/>
      <c r="AT26" s="36"/>
      <c r="AU26" s="36"/>
      <c r="AV26" s="36"/>
      <c r="AW26" s="36"/>
      <c r="AX26" s="36"/>
      <c r="AY26" s="36"/>
      <c r="AZ26" s="36"/>
      <c r="BA26" s="36"/>
      <c r="BB26" s="36"/>
      <c r="BC26" s="36"/>
      <c r="BD26" s="36"/>
      <c r="BE26" s="36"/>
    </row>
    <row r="27" spans="2:57" s="30" customFormat="1" ht="45" x14ac:dyDescent="0.2">
      <c r="B27" s="76" t="s">
        <v>606</v>
      </c>
      <c r="C27" s="471" t="s">
        <v>6</v>
      </c>
      <c r="D27" s="473"/>
      <c r="G27" s="80" t="str">
        <f>C27</f>
        <v>Kyllä</v>
      </c>
      <c r="H27" s="81"/>
      <c r="J27" s="32"/>
      <c r="K27" s="33"/>
      <c r="L27" s="33"/>
      <c r="M27" s="81"/>
      <c r="N27" s="81"/>
      <c r="O27" s="96"/>
      <c r="Q27" s="34"/>
      <c r="R27" s="95"/>
      <c r="S27" s="35"/>
      <c r="T27" s="35"/>
      <c r="U27" s="35"/>
      <c r="V27" s="35"/>
      <c r="W27" s="35"/>
      <c r="X27" s="35"/>
      <c r="Y27" s="35"/>
      <c r="Z27" s="35"/>
      <c r="AA27" s="35"/>
      <c r="AB27" s="35"/>
      <c r="AC27" s="35"/>
      <c r="AD27" s="35"/>
      <c r="AE27" s="35"/>
      <c r="AF27" s="35"/>
      <c r="AG27" s="35"/>
      <c r="AH27" s="35"/>
      <c r="AI27" s="35"/>
      <c r="AJ27" s="35"/>
      <c r="AK27" s="35"/>
      <c r="AL27" s="35"/>
      <c r="AM27" s="35"/>
      <c r="AN27" s="36"/>
      <c r="AO27" s="36"/>
      <c r="AP27" s="36"/>
      <c r="AQ27" s="36"/>
      <c r="AR27" s="36"/>
      <c r="AS27" s="36"/>
      <c r="AT27" s="36"/>
      <c r="AU27" s="36"/>
      <c r="AV27" s="36"/>
      <c r="AW27" s="36"/>
      <c r="AX27" s="36"/>
      <c r="AY27" s="36"/>
      <c r="AZ27" s="36"/>
      <c r="BA27" s="36"/>
      <c r="BB27" s="36"/>
      <c r="BC27" s="36"/>
      <c r="BD27" s="36"/>
      <c r="BE27" s="36"/>
    </row>
    <row r="28" spans="2:57" s="30" customFormat="1" ht="15" x14ac:dyDescent="0.2">
      <c r="C28" s="33"/>
      <c r="D28" s="81"/>
      <c r="G28" s="33"/>
      <c r="H28" s="81"/>
      <c r="K28" s="33"/>
      <c r="L28" s="33"/>
      <c r="M28" s="81"/>
      <c r="N28" s="81"/>
      <c r="O28" s="81"/>
      <c r="Q28" s="34"/>
      <c r="R28" s="95"/>
      <c r="S28" s="35"/>
      <c r="T28" s="35"/>
      <c r="U28" s="35"/>
      <c r="V28" s="35"/>
      <c r="W28" s="35"/>
      <c r="X28" s="35"/>
      <c r="Y28" s="35"/>
      <c r="Z28" s="35"/>
      <c r="AA28" s="35"/>
      <c r="AB28" s="35"/>
      <c r="AC28" s="35"/>
      <c r="AD28" s="35"/>
      <c r="AE28" s="35"/>
      <c r="AF28" s="35"/>
      <c r="AG28" s="35"/>
      <c r="AH28" s="35"/>
      <c r="AI28" s="35"/>
      <c r="AJ28" s="35"/>
      <c r="AK28" s="35"/>
      <c r="AL28" s="35"/>
      <c r="AM28" s="35"/>
      <c r="AN28" s="36"/>
      <c r="AO28" s="36"/>
      <c r="AP28" s="36"/>
      <c r="AQ28" s="36"/>
      <c r="AR28" s="36"/>
      <c r="AS28" s="36"/>
      <c r="AT28" s="36"/>
      <c r="AU28" s="36"/>
      <c r="AV28" s="36"/>
      <c r="AW28" s="36"/>
      <c r="AX28" s="36"/>
      <c r="AY28" s="36"/>
      <c r="AZ28" s="36"/>
      <c r="BA28" s="36"/>
      <c r="BB28" s="36"/>
      <c r="BC28" s="36"/>
      <c r="BD28" s="36"/>
      <c r="BE28" s="36"/>
    </row>
    <row r="29" spans="2:57" s="289" customFormat="1" ht="18" x14ac:dyDescent="0.2">
      <c r="B29" s="286" t="s">
        <v>459</v>
      </c>
      <c r="C29" s="287"/>
      <c r="D29" s="288"/>
      <c r="G29" s="287"/>
      <c r="H29" s="288"/>
      <c r="K29" s="287"/>
      <c r="L29" s="287"/>
      <c r="M29" s="288"/>
      <c r="N29" s="288"/>
      <c r="O29" s="291"/>
      <c r="P29" s="311"/>
      <c r="Q29" s="295"/>
      <c r="S29" s="294"/>
      <c r="T29" s="294"/>
      <c r="U29" s="294"/>
      <c r="V29" s="294"/>
      <c r="W29" s="294"/>
      <c r="X29" s="294"/>
      <c r="Y29" s="294"/>
      <c r="Z29" s="294"/>
      <c r="AA29" s="294"/>
      <c r="AB29" s="294"/>
      <c r="AC29" s="294"/>
      <c r="AD29" s="294"/>
      <c r="AE29" s="294"/>
      <c r="AF29" s="294"/>
      <c r="AG29" s="294"/>
      <c r="AH29" s="294"/>
      <c r="AI29" s="294"/>
      <c r="AJ29" s="294"/>
      <c r="AK29" s="294"/>
      <c r="AL29" s="294"/>
      <c r="AM29" s="294"/>
      <c r="AN29" s="295"/>
      <c r="AO29" s="295"/>
      <c r="AP29" s="295"/>
      <c r="AQ29" s="295"/>
      <c r="AR29" s="295"/>
      <c r="AS29" s="295"/>
      <c r="AT29" s="295"/>
      <c r="AU29" s="295"/>
      <c r="AV29" s="295"/>
      <c r="AW29" s="295"/>
      <c r="AX29" s="295"/>
      <c r="AY29" s="295"/>
      <c r="AZ29" s="295"/>
      <c r="BA29" s="295"/>
      <c r="BB29" s="295"/>
      <c r="BC29" s="295"/>
      <c r="BD29" s="295"/>
      <c r="BE29" s="295"/>
    </row>
    <row r="30" spans="2:57" s="30" customFormat="1" ht="16.5" thickBot="1" x14ac:dyDescent="0.25">
      <c r="B30" s="8"/>
      <c r="C30" s="33"/>
      <c r="D30" s="81"/>
      <c r="G30" s="33"/>
      <c r="H30" s="81"/>
      <c r="J30" s="32"/>
      <c r="K30" s="37" t="s">
        <v>297</v>
      </c>
      <c r="L30" s="37" t="s">
        <v>185</v>
      </c>
      <c r="M30" s="83"/>
      <c r="N30" s="83"/>
      <c r="O30" s="249" t="s">
        <v>584</v>
      </c>
      <c r="P30" s="37"/>
      <c r="Q30" s="34"/>
      <c r="R30" s="59" t="s">
        <v>318</v>
      </c>
      <c r="S30" s="35"/>
      <c r="T30" s="35"/>
      <c r="U30" s="35"/>
      <c r="V30" s="35"/>
      <c r="W30" s="35"/>
      <c r="X30" s="35"/>
      <c r="Y30" s="35"/>
      <c r="Z30" s="35"/>
      <c r="AA30" s="35"/>
      <c r="AB30" s="35"/>
      <c r="AC30" s="35"/>
      <c r="AD30" s="35"/>
      <c r="AE30" s="35"/>
      <c r="AF30" s="35"/>
      <c r="AG30" s="35"/>
      <c r="AH30" s="35"/>
      <c r="AI30" s="35"/>
      <c r="AJ30" s="35"/>
      <c r="AK30" s="35"/>
      <c r="AL30" s="35"/>
      <c r="AM30" s="35"/>
      <c r="AN30" s="36"/>
      <c r="AO30" s="36"/>
      <c r="AP30" s="36"/>
      <c r="AQ30" s="36"/>
      <c r="AR30" s="36"/>
      <c r="AS30" s="36"/>
      <c r="AT30" s="36"/>
      <c r="AU30" s="36"/>
      <c r="AV30" s="36"/>
      <c r="AW30" s="36"/>
      <c r="AX30" s="36"/>
      <c r="AY30" s="36"/>
      <c r="AZ30" s="36"/>
      <c r="BA30" s="36"/>
      <c r="BB30" s="36"/>
      <c r="BC30" s="36"/>
      <c r="BD30" s="36"/>
      <c r="BE30" s="36"/>
    </row>
    <row r="31" spans="2:57" s="30" customFormat="1" ht="15.75" thickBot="1" x14ac:dyDescent="0.25">
      <c r="B31" s="38" t="s">
        <v>428</v>
      </c>
      <c r="C31" s="152"/>
      <c r="D31" s="85" t="s">
        <v>162</v>
      </c>
      <c r="E31" s="31"/>
      <c r="F31" s="31"/>
      <c r="G31" s="33"/>
      <c r="H31" s="81"/>
      <c r="J31" s="32" t="s">
        <v>410</v>
      </c>
      <c r="K31" s="92">
        <f>IF(ISNUMBER(L31),L31,Muut!$F$5)</f>
        <v>8.4</v>
      </c>
      <c r="L31" s="39"/>
      <c r="M31" s="40" t="s">
        <v>266</v>
      </c>
      <c r="N31" s="40"/>
      <c r="O31" s="250"/>
      <c r="Q31" s="34"/>
      <c r="R31" s="128" t="str">
        <f>IF(ISNUMBER(C31),IF(ISNUMBER(L31),L31*C31,K31*C31),"")</f>
        <v/>
      </c>
      <c r="S31" s="98" t="s">
        <v>317</v>
      </c>
      <c r="T31" s="42"/>
      <c r="U31" s="42"/>
      <c r="V31" s="42"/>
      <c r="W31" s="35"/>
      <c r="X31" s="35"/>
      <c r="Y31" s="35"/>
      <c r="Z31" s="35"/>
      <c r="AA31" s="35"/>
      <c r="AB31" s="35"/>
      <c r="AC31" s="35"/>
      <c r="AD31" s="35"/>
      <c r="AE31" s="35"/>
      <c r="AF31" s="35"/>
      <c r="AG31" s="35"/>
      <c r="AH31" s="35"/>
      <c r="AI31" s="35"/>
      <c r="AJ31" s="35"/>
      <c r="AK31" s="35"/>
      <c r="AL31" s="35"/>
      <c r="AM31" s="35"/>
      <c r="AN31" s="36"/>
      <c r="AO31" s="36"/>
      <c r="AP31" s="36"/>
      <c r="AQ31" s="36"/>
      <c r="AR31" s="36"/>
      <c r="AS31" s="36"/>
      <c r="AT31" s="36"/>
      <c r="AU31" s="36"/>
      <c r="AV31" s="36"/>
      <c r="AW31" s="36"/>
      <c r="AX31" s="36"/>
      <c r="AY31" s="36"/>
      <c r="AZ31" s="36"/>
      <c r="BA31" s="36"/>
      <c r="BB31" s="36"/>
      <c r="BC31" s="36"/>
      <c r="BD31" s="36"/>
      <c r="BE31" s="36"/>
    </row>
    <row r="32" spans="2:57" s="30" customFormat="1" ht="15" x14ac:dyDescent="0.2">
      <c r="B32" s="166" t="s">
        <v>460</v>
      </c>
      <c r="C32" s="156" t="s">
        <v>309</v>
      </c>
      <c r="D32" s="85"/>
      <c r="E32" s="31"/>
      <c r="F32" s="31"/>
      <c r="G32" s="33"/>
      <c r="H32" s="81"/>
      <c r="J32" s="32" t="s">
        <v>409</v>
      </c>
      <c r="K32" s="92" t="str">
        <f>IFERROR(Muut!$F$6*VLOOKUP(C32,Muut!$D$40:$E$43,2,FALSE),"--")</f>
        <v>--</v>
      </c>
      <c r="L32" s="39"/>
      <c r="M32" s="40" t="s">
        <v>266</v>
      </c>
      <c r="N32" s="40"/>
      <c r="O32" s="40"/>
      <c r="Q32" s="34"/>
      <c r="R32" s="127" t="str">
        <f>IF(ISNUMBER(C31),IF(ISNUMBER(L32),L32*C31,K32*C31),"")</f>
        <v/>
      </c>
      <c r="S32" s="98" t="s">
        <v>160</v>
      </c>
      <c r="T32" s="42"/>
      <c r="U32" s="42"/>
      <c r="V32" s="42"/>
      <c r="W32" s="35"/>
      <c r="X32" s="35"/>
      <c r="Y32" s="35"/>
      <c r="Z32" s="35"/>
      <c r="AA32" s="35"/>
      <c r="AB32" s="35"/>
      <c r="AC32" s="35"/>
      <c r="AD32" s="35"/>
      <c r="AE32" s="35"/>
      <c r="AF32" s="35"/>
      <c r="AG32" s="35"/>
      <c r="AH32" s="35"/>
      <c r="AI32" s="35"/>
      <c r="AJ32" s="35"/>
      <c r="AK32" s="35"/>
      <c r="AL32" s="35"/>
      <c r="AM32" s="35"/>
      <c r="AN32" s="36"/>
      <c r="AO32" s="36"/>
      <c r="AP32" s="36"/>
      <c r="AQ32" s="36"/>
      <c r="AR32" s="36"/>
      <c r="AS32" s="36"/>
      <c r="AT32" s="36"/>
      <c r="AU32" s="36"/>
      <c r="AV32" s="36"/>
      <c r="AW32" s="36"/>
      <c r="AX32" s="36"/>
      <c r="AY32" s="36"/>
      <c r="AZ32" s="36"/>
      <c r="BA32" s="36"/>
      <c r="BB32" s="36"/>
      <c r="BC32" s="36"/>
      <c r="BD32" s="36"/>
      <c r="BE32" s="36"/>
    </row>
    <row r="33" spans="2:57" s="30" customFormat="1" ht="15" x14ac:dyDescent="0.2">
      <c r="B33" s="38" t="s">
        <v>429</v>
      </c>
      <c r="C33" s="152"/>
      <c r="D33" s="85" t="s">
        <v>162</v>
      </c>
      <c r="E33" s="31"/>
      <c r="F33" s="31"/>
      <c r="G33" s="33"/>
      <c r="H33" s="81"/>
      <c r="J33" s="32" t="s">
        <v>408</v>
      </c>
      <c r="K33" s="92" t="str">
        <f>IFERROR(Muut!$F$7*VLOOKUP(C34,Muut!$D$40:$E$43,2,FALSE),"--")</f>
        <v>--</v>
      </c>
      <c r="L33" s="39"/>
      <c r="M33" s="40" t="s">
        <v>266</v>
      </c>
      <c r="N33" s="40"/>
      <c r="O33" s="40"/>
      <c r="Q33" s="34"/>
      <c r="R33" s="46" t="str">
        <f>IF(ISNUMBER(C33),IF(ISNUMBER(L33),L33*C33,K33*C33),"")</f>
        <v/>
      </c>
      <c r="S33" s="98" t="s">
        <v>160</v>
      </c>
      <c r="T33" s="42"/>
      <c r="U33" s="42"/>
      <c r="V33" s="42"/>
      <c r="W33" s="35"/>
      <c r="X33" s="35"/>
      <c r="Y33" s="35"/>
      <c r="Z33" s="35"/>
      <c r="AA33" s="35"/>
      <c r="AB33" s="35"/>
      <c r="AC33" s="35"/>
      <c r="AD33" s="35"/>
      <c r="AE33" s="35"/>
      <c r="AF33" s="35"/>
      <c r="AG33" s="35"/>
      <c r="AH33" s="35"/>
      <c r="AI33" s="35"/>
      <c r="AJ33" s="35"/>
      <c r="AK33" s="35"/>
      <c r="AL33" s="35"/>
      <c r="AM33" s="35"/>
      <c r="AN33" s="36"/>
      <c r="AO33" s="36"/>
      <c r="AP33" s="36"/>
      <c r="AQ33" s="36"/>
      <c r="AR33" s="36"/>
      <c r="AS33" s="36"/>
      <c r="AT33" s="36"/>
      <c r="AU33" s="36"/>
      <c r="AV33" s="36"/>
      <c r="AW33" s="36"/>
      <c r="AX33" s="36"/>
      <c r="AY33" s="36"/>
      <c r="AZ33" s="36"/>
      <c r="BA33" s="36"/>
      <c r="BB33" s="36"/>
      <c r="BC33" s="36"/>
      <c r="BD33" s="36"/>
      <c r="BE33" s="36"/>
    </row>
    <row r="34" spans="2:57" s="30" customFormat="1" ht="15" x14ac:dyDescent="0.2">
      <c r="B34" s="166" t="s">
        <v>460</v>
      </c>
      <c r="C34" s="156" t="s">
        <v>309</v>
      </c>
      <c r="D34" s="33"/>
      <c r="E34" s="33"/>
      <c r="F34" s="33"/>
      <c r="G34" s="33"/>
      <c r="H34" s="57"/>
      <c r="J34" s="169"/>
      <c r="K34" s="169"/>
      <c r="L34" s="169"/>
      <c r="M34" s="40"/>
      <c r="N34" s="40"/>
      <c r="O34" s="40"/>
      <c r="Q34" s="45"/>
      <c r="R34" s="98"/>
      <c r="S34" s="98"/>
      <c r="T34" s="35"/>
      <c r="U34" s="35"/>
      <c r="V34" s="177"/>
      <c r="W34" s="177"/>
      <c r="X34" s="59"/>
      <c r="Y34" s="35"/>
      <c r="Z34" s="59"/>
      <c r="AA34" s="178"/>
      <c r="AB34" s="59"/>
      <c r="AC34" s="59"/>
      <c r="AD34" s="59"/>
      <c r="AE34" s="59"/>
      <c r="AF34" s="178"/>
      <c r="AG34" s="59"/>
      <c r="AH34" s="35"/>
      <c r="AI34" s="35"/>
      <c r="AJ34" s="35"/>
      <c r="AK34" s="104"/>
      <c r="AL34" s="35"/>
      <c r="AM34" s="35"/>
      <c r="AN34" s="36"/>
      <c r="AO34" s="36"/>
      <c r="AP34" s="36"/>
      <c r="AQ34" s="36"/>
      <c r="AR34" s="36"/>
      <c r="AS34" s="36"/>
      <c r="AT34" s="36"/>
      <c r="AU34" s="36"/>
      <c r="AV34" s="36"/>
      <c r="AW34" s="36"/>
      <c r="AX34" s="36"/>
      <c r="AY34" s="36"/>
      <c r="AZ34" s="36"/>
      <c r="BA34" s="36"/>
      <c r="BB34" s="36"/>
      <c r="BC34" s="36"/>
      <c r="BD34" s="36"/>
      <c r="BE34" s="36"/>
    </row>
    <row r="35" spans="2:57" s="30" customFormat="1" ht="15" x14ac:dyDescent="0.2">
      <c r="B35" s="38" t="s">
        <v>358</v>
      </c>
      <c r="C35" s="152"/>
      <c r="D35" s="85" t="s">
        <v>163</v>
      </c>
      <c r="E35" s="31"/>
      <c r="F35" s="31"/>
      <c r="G35" s="33"/>
      <c r="H35" s="81"/>
      <c r="J35" s="32" t="s">
        <v>407</v>
      </c>
      <c r="K35" s="92" t="str">
        <f>IFERROR(Muut!$F$8*VLOOKUP(C36,Muut!$D$40:$E$43,2,FALSE),"--")</f>
        <v>--</v>
      </c>
      <c r="L35" s="39"/>
      <c r="M35" s="40" t="s">
        <v>207</v>
      </c>
      <c r="N35" s="40"/>
      <c r="O35" s="40"/>
      <c r="Q35" s="34"/>
      <c r="R35" s="46" t="str">
        <f>IF(ISNUMBER(C35),IF(ISNUMBER(L35),L35*C35,K35*C35),"")</f>
        <v/>
      </c>
      <c r="S35" s="98" t="s">
        <v>160</v>
      </c>
      <c r="T35" s="42"/>
      <c r="U35" s="42"/>
      <c r="V35" s="42"/>
      <c r="W35" s="35"/>
      <c r="X35" s="35"/>
      <c r="Y35" s="35"/>
      <c r="Z35" s="35"/>
      <c r="AA35" s="35"/>
      <c r="AB35" s="35"/>
      <c r="AC35" s="35"/>
      <c r="AD35" s="35"/>
      <c r="AE35" s="35"/>
      <c r="AF35" s="35"/>
      <c r="AG35" s="35"/>
      <c r="AH35" s="35"/>
      <c r="AI35" s="35"/>
      <c r="AJ35" s="35"/>
      <c r="AK35" s="35"/>
      <c r="AL35" s="35"/>
      <c r="AM35" s="35"/>
      <c r="AN35" s="36"/>
      <c r="AO35" s="36"/>
      <c r="AP35" s="36"/>
      <c r="AQ35" s="36"/>
      <c r="AR35" s="36"/>
      <c r="AS35" s="36"/>
      <c r="AT35" s="36"/>
      <c r="AU35" s="36"/>
      <c r="AV35" s="36"/>
      <c r="AW35" s="36"/>
      <c r="AX35" s="36"/>
      <c r="AY35" s="36"/>
      <c r="AZ35" s="36"/>
      <c r="BA35" s="36"/>
      <c r="BB35" s="36"/>
      <c r="BC35" s="36"/>
      <c r="BD35" s="36"/>
      <c r="BE35" s="36"/>
    </row>
    <row r="36" spans="2:57" s="30" customFormat="1" ht="15" x14ac:dyDescent="0.2">
      <c r="B36" s="166" t="s">
        <v>460</v>
      </c>
      <c r="C36" s="156" t="s">
        <v>309</v>
      </c>
      <c r="D36" s="33"/>
      <c r="E36" s="33"/>
      <c r="F36" s="33"/>
      <c r="G36" s="33"/>
      <c r="H36" s="57"/>
      <c r="J36" s="169"/>
      <c r="K36" s="169"/>
      <c r="L36" s="169"/>
      <c r="M36" s="40"/>
      <c r="N36" s="40"/>
      <c r="O36" s="40"/>
      <c r="Q36" s="45"/>
      <c r="R36" s="98"/>
      <c r="S36" s="98"/>
      <c r="T36" s="35"/>
      <c r="U36" s="35"/>
      <c r="V36" s="177"/>
      <c r="W36" s="177"/>
      <c r="X36" s="59"/>
      <c r="Y36" s="35"/>
      <c r="Z36" s="59"/>
      <c r="AA36" s="178"/>
      <c r="AB36" s="59"/>
      <c r="AC36" s="59"/>
      <c r="AD36" s="59"/>
      <c r="AE36" s="59"/>
      <c r="AF36" s="178"/>
      <c r="AG36" s="59"/>
      <c r="AH36" s="35"/>
      <c r="AI36" s="35"/>
      <c r="AJ36" s="35"/>
      <c r="AK36" s="104"/>
      <c r="AL36" s="35"/>
      <c r="AM36" s="35"/>
      <c r="AN36" s="36"/>
      <c r="AO36" s="36"/>
      <c r="AP36" s="36"/>
      <c r="AQ36" s="36"/>
      <c r="AR36" s="36"/>
      <c r="AS36" s="36"/>
      <c r="AT36" s="36"/>
      <c r="AU36" s="36"/>
      <c r="AV36" s="36"/>
      <c r="AW36" s="36"/>
      <c r="AX36" s="36"/>
      <c r="AY36" s="36"/>
      <c r="AZ36" s="36"/>
      <c r="BA36" s="36"/>
      <c r="BB36" s="36"/>
      <c r="BC36" s="36"/>
      <c r="BD36" s="36"/>
      <c r="BE36" s="36"/>
    </row>
    <row r="37" spans="2:57" s="30" customFormat="1" ht="15.75" x14ac:dyDescent="0.2">
      <c r="B37" s="8"/>
      <c r="C37" s="33"/>
      <c r="D37" s="81"/>
      <c r="G37" s="33"/>
      <c r="H37" s="81"/>
      <c r="K37" s="33"/>
      <c r="L37" s="33"/>
      <c r="M37" s="81"/>
      <c r="N37" s="81"/>
      <c r="O37" s="81"/>
      <c r="Q37" s="34"/>
      <c r="R37" s="35"/>
      <c r="S37" s="35"/>
      <c r="T37" s="35"/>
      <c r="U37" s="35"/>
      <c r="V37" s="35"/>
      <c r="W37" s="35"/>
      <c r="X37" s="35"/>
      <c r="Y37" s="35"/>
      <c r="Z37" s="35"/>
      <c r="AA37" s="35"/>
      <c r="AB37" s="35"/>
      <c r="AC37" s="35"/>
      <c r="AD37" s="35"/>
      <c r="AE37" s="35"/>
      <c r="AF37" s="35"/>
      <c r="AG37" s="35"/>
      <c r="AH37" s="35"/>
      <c r="AI37" s="35"/>
      <c r="AJ37" s="35"/>
      <c r="AK37" s="35"/>
      <c r="AL37" s="35"/>
      <c r="AM37" s="35"/>
      <c r="AN37" s="36"/>
      <c r="AO37" s="36"/>
      <c r="AP37" s="36"/>
      <c r="AQ37" s="36"/>
      <c r="AR37" s="36"/>
      <c r="AS37" s="36"/>
      <c r="AT37" s="36"/>
      <c r="AU37" s="36"/>
      <c r="AV37" s="36"/>
      <c r="AW37" s="36"/>
      <c r="AX37" s="36"/>
      <c r="AY37" s="36"/>
      <c r="AZ37" s="36"/>
      <c r="BA37" s="36"/>
      <c r="BB37" s="36"/>
      <c r="BC37" s="36"/>
      <c r="BD37" s="36"/>
      <c r="BE37" s="36"/>
    </row>
    <row r="38" spans="2:57" s="289" customFormat="1" ht="18" x14ac:dyDescent="0.2">
      <c r="B38" s="286" t="s">
        <v>262</v>
      </c>
      <c r="C38" s="287"/>
      <c r="D38" s="288"/>
      <c r="G38" s="287"/>
      <c r="H38" s="288"/>
      <c r="K38" s="287"/>
      <c r="L38" s="287"/>
      <c r="M38" s="288"/>
      <c r="N38" s="288"/>
      <c r="O38" s="291"/>
      <c r="P38" s="311"/>
      <c r="Q38" s="295"/>
      <c r="S38" s="294"/>
      <c r="T38" s="294"/>
      <c r="U38" s="294"/>
      <c r="V38" s="294"/>
      <c r="W38" s="294"/>
      <c r="X38" s="294"/>
      <c r="Y38" s="294"/>
      <c r="Z38" s="294"/>
      <c r="AA38" s="294"/>
      <c r="AB38" s="294"/>
      <c r="AC38" s="294"/>
      <c r="AD38" s="294"/>
      <c r="AE38" s="294"/>
      <c r="AF38" s="294"/>
      <c r="AG38" s="294"/>
      <c r="AH38" s="294"/>
      <c r="AI38" s="294"/>
      <c r="AJ38" s="294"/>
      <c r="AK38" s="294"/>
      <c r="AL38" s="294"/>
      <c r="AM38" s="294"/>
      <c r="AN38" s="295"/>
      <c r="AO38" s="295"/>
      <c r="AP38" s="295"/>
      <c r="AQ38" s="295"/>
      <c r="AR38" s="295"/>
      <c r="AS38" s="295"/>
      <c r="AT38" s="295"/>
      <c r="AU38" s="295"/>
      <c r="AV38" s="295"/>
      <c r="AW38" s="295"/>
      <c r="AX38" s="295"/>
      <c r="AY38" s="295"/>
      <c r="AZ38" s="295"/>
      <c r="BA38" s="295"/>
      <c r="BB38" s="295"/>
      <c r="BC38" s="295"/>
      <c r="BD38" s="295"/>
      <c r="BE38" s="295"/>
    </row>
    <row r="39" spans="2:57" s="30" customFormat="1" ht="15" x14ac:dyDescent="0.2">
      <c r="B39" s="52"/>
      <c r="O39" s="249" t="s">
        <v>584</v>
      </c>
      <c r="Q39" s="129"/>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row>
    <row r="40" spans="2:57" s="30" customFormat="1" ht="15" x14ac:dyDescent="0.2">
      <c r="B40" s="151" t="s">
        <v>354</v>
      </c>
      <c r="C40" s="52"/>
      <c r="D40" s="52"/>
      <c r="E40" s="52"/>
      <c r="F40" s="52"/>
      <c r="G40" s="52"/>
      <c r="H40" s="52"/>
      <c r="I40" s="52"/>
      <c r="J40" s="52"/>
      <c r="K40" s="37" t="s">
        <v>297</v>
      </c>
      <c r="L40" s="37" t="s">
        <v>185</v>
      </c>
      <c r="M40" s="81"/>
      <c r="N40" s="81"/>
      <c r="O40" s="250"/>
      <c r="P40" s="37"/>
      <c r="Q40" s="34"/>
      <c r="R40" s="59" t="s">
        <v>318</v>
      </c>
      <c r="S40" s="35"/>
      <c r="T40" s="43" t="s">
        <v>246</v>
      </c>
      <c r="U40" s="43" t="s">
        <v>319</v>
      </c>
      <c r="V40" s="35" t="s">
        <v>320</v>
      </c>
      <c r="W40" s="43"/>
      <c r="X40" s="35"/>
      <c r="Y40" s="35"/>
      <c r="Z40" s="35"/>
      <c r="AA40" s="60"/>
      <c r="AB40" s="35"/>
      <c r="AC40" s="35"/>
      <c r="AD40" s="35"/>
      <c r="AE40" s="35"/>
      <c r="AF40" s="35"/>
      <c r="AG40" s="35"/>
      <c r="AH40" s="35"/>
      <c r="AI40" s="35"/>
      <c r="AJ40" s="35"/>
      <c r="AK40" s="35"/>
      <c r="AL40" s="35"/>
      <c r="AM40" s="35"/>
      <c r="AN40" s="36"/>
      <c r="AO40" s="36"/>
      <c r="AP40" s="36"/>
      <c r="AQ40" s="36"/>
      <c r="AR40" s="36"/>
      <c r="AS40" s="36"/>
      <c r="AT40" s="36"/>
      <c r="AU40" s="36"/>
      <c r="AV40" s="36"/>
      <c r="AW40" s="36"/>
      <c r="AX40" s="36"/>
      <c r="AY40" s="36"/>
      <c r="AZ40" s="36"/>
      <c r="BA40" s="36"/>
      <c r="BB40" s="36"/>
      <c r="BC40" s="36"/>
      <c r="BD40" s="36"/>
      <c r="BE40" s="36"/>
    </row>
    <row r="41" spans="2:57" s="30" customFormat="1" ht="15" x14ac:dyDescent="0.2">
      <c r="B41" s="52" t="s">
        <v>461</v>
      </c>
      <c r="C41" s="471" t="s">
        <v>300</v>
      </c>
      <c r="D41" s="472"/>
      <c r="E41" s="472"/>
      <c r="F41" s="472"/>
      <c r="G41" s="473"/>
      <c r="J41" s="32" t="s">
        <v>424</v>
      </c>
      <c r="K41" s="92" t="str">
        <f>IF(ISNUMBER(L41),L41,IF(C41=Kalusto!$C$33,Kalusto!$E$33*1/IF(C42=Pudotusvalikot!$V$4,Muut!$F$45*(Muut!$F$15+Muut!$F$18),IF(C42=Pudotusvalikot!$V$5,Muut!$F$46*(Muut!$F$16+Muut!$F$19),IF(C42=Pudotusvalikot!$V$6,Muut!$F$47*(Muut!$F$17+Muut!$F$20),(Muut!$F$11+Muut!$F$13)))),IF(C41=Pudotusvalikot!$D$67,"--",VLOOKUP(C41,Kalusto!$C$5:$E$42,3,FALSE)*VLOOKUP(C42,Muut!$D$40:$E$43,2,FALSE))))</f>
        <v>--</v>
      </c>
      <c r="L41" s="39"/>
      <c r="M41" s="40" t="s">
        <v>189</v>
      </c>
      <c r="N41" s="40"/>
      <c r="O41" s="259"/>
      <c r="P41" s="58"/>
      <c r="Q41" s="34"/>
      <c r="R41" s="48" t="str">
        <f>IF(ISNUMBER(K41*V41),K41*V41,"")</f>
        <v/>
      </c>
      <c r="S41" s="98" t="s">
        <v>160</v>
      </c>
      <c r="T41" s="48" t="str">
        <f>IF(ISNUMBER(C43),C43,"")</f>
        <v/>
      </c>
      <c r="U41" s="62" t="str">
        <f>IF(D43="h","",IF(ISNUMBER(C43),C43,""))</f>
        <v/>
      </c>
      <c r="V41" s="48" t="str">
        <f>IF(ISNUMBER(T41),IF(D43="h",C43,IF(ISNUMBER(T41*U41),IF(D43="m3/h",T41/U41,T41*U41),"")),"")</f>
        <v/>
      </c>
      <c r="W41" s="104"/>
      <c r="X41" s="59"/>
      <c r="Y41" s="35"/>
      <c r="Z41" s="35"/>
      <c r="AA41" s="35"/>
      <c r="AB41" s="35"/>
      <c r="AC41" s="35"/>
      <c r="AD41" s="35"/>
      <c r="AE41" s="35"/>
      <c r="AF41" s="35"/>
      <c r="AG41" s="35"/>
      <c r="AH41" s="35"/>
      <c r="AI41" s="35"/>
      <c r="AJ41" s="35"/>
      <c r="AK41" s="35"/>
      <c r="AL41" s="35"/>
      <c r="AM41" s="35"/>
      <c r="AN41" s="36"/>
      <c r="AO41" s="36"/>
      <c r="AP41" s="36"/>
      <c r="AQ41" s="36"/>
      <c r="AR41" s="36"/>
      <c r="AS41" s="36"/>
      <c r="AT41" s="36"/>
      <c r="AU41" s="36"/>
      <c r="AV41" s="36"/>
      <c r="AW41" s="36"/>
      <c r="AX41" s="36"/>
      <c r="AY41" s="36"/>
      <c r="AZ41" s="36"/>
      <c r="BA41" s="36"/>
      <c r="BB41" s="36"/>
      <c r="BC41" s="36"/>
      <c r="BD41" s="36"/>
      <c r="BE41" s="36"/>
    </row>
    <row r="42" spans="2:57" s="30" customFormat="1" ht="15" x14ac:dyDescent="0.2">
      <c r="B42" s="166" t="s">
        <v>460</v>
      </c>
      <c r="C42" s="156" t="s">
        <v>309</v>
      </c>
      <c r="D42" s="33"/>
      <c r="E42" s="33"/>
      <c r="F42" s="33"/>
      <c r="G42" s="33"/>
      <c r="J42" s="32"/>
      <c r="K42" s="32"/>
      <c r="L42" s="32"/>
      <c r="M42" s="32"/>
      <c r="N42" s="32"/>
      <c r="O42" s="265"/>
      <c r="P42" s="58"/>
      <c r="Q42" s="34"/>
      <c r="R42" s="59"/>
      <c r="S42" s="98"/>
      <c r="T42" s="59"/>
      <c r="U42" s="60"/>
      <c r="V42" s="59"/>
      <c r="W42" s="104"/>
      <c r="X42" s="59"/>
      <c r="Y42" s="35"/>
      <c r="Z42" s="35"/>
      <c r="AA42" s="35"/>
      <c r="AB42" s="35"/>
      <c r="AC42" s="35"/>
      <c r="AD42" s="35"/>
      <c r="AE42" s="35"/>
      <c r="AF42" s="35"/>
      <c r="AG42" s="35"/>
      <c r="AH42" s="35"/>
      <c r="AI42" s="35"/>
      <c r="AJ42" s="35"/>
      <c r="AK42" s="35"/>
      <c r="AL42" s="35"/>
      <c r="AM42" s="35"/>
      <c r="AN42" s="36"/>
      <c r="AO42" s="36"/>
      <c r="AP42" s="36"/>
      <c r="AQ42" s="36"/>
      <c r="AR42" s="36"/>
      <c r="AS42" s="36"/>
      <c r="AT42" s="36"/>
      <c r="AU42" s="36"/>
      <c r="AV42" s="36"/>
      <c r="AW42" s="36"/>
      <c r="AX42" s="36"/>
      <c r="AY42" s="36"/>
      <c r="AZ42" s="36"/>
      <c r="BA42" s="36"/>
      <c r="BB42" s="36"/>
      <c r="BC42" s="36"/>
      <c r="BD42" s="36"/>
      <c r="BE42" s="36"/>
    </row>
    <row r="43" spans="2:57" s="30" customFormat="1" ht="15" x14ac:dyDescent="0.2">
      <c r="B43" s="44" t="s">
        <v>357</v>
      </c>
      <c r="C43" s="155"/>
      <c r="D43" s="81" t="s">
        <v>51</v>
      </c>
      <c r="E43" s="33"/>
      <c r="F43" s="33"/>
      <c r="G43" s="33"/>
      <c r="J43" s="32"/>
      <c r="M43" s="81"/>
      <c r="N43" s="81"/>
      <c r="O43" s="96"/>
      <c r="P43" s="41"/>
      <c r="Q43" s="50"/>
      <c r="R43" s="107"/>
      <c r="S43" s="35"/>
      <c r="T43" s="35"/>
      <c r="U43" s="35"/>
      <c r="V43" s="35"/>
      <c r="W43" s="35"/>
      <c r="X43" s="35"/>
      <c r="Y43" s="35"/>
      <c r="Z43" s="35"/>
      <c r="AA43" s="35"/>
      <c r="AB43" s="35"/>
      <c r="AC43" s="35"/>
      <c r="AD43" s="35"/>
      <c r="AE43" s="35"/>
      <c r="AF43" s="35"/>
      <c r="AG43" s="35"/>
      <c r="AH43" s="35"/>
      <c r="AI43" s="35"/>
      <c r="AJ43" s="35"/>
      <c r="AK43" s="35"/>
      <c r="AL43" s="35"/>
      <c r="AM43" s="35"/>
      <c r="AN43" s="36"/>
      <c r="AO43" s="36"/>
      <c r="AP43" s="36"/>
      <c r="AQ43" s="36"/>
      <c r="AR43" s="36"/>
      <c r="AS43" s="36"/>
      <c r="AT43" s="36"/>
      <c r="AU43" s="36"/>
      <c r="AV43" s="36"/>
      <c r="AW43" s="36"/>
      <c r="AX43" s="36"/>
      <c r="AY43" s="36"/>
      <c r="AZ43" s="36"/>
      <c r="BA43" s="36"/>
      <c r="BB43" s="36"/>
      <c r="BC43" s="36"/>
      <c r="BD43" s="36"/>
      <c r="BE43" s="36"/>
    </row>
    <row r="44" spans="2:57" s="30" customFormat="1" ht="15" x14ac:dyDescent="0.2">
      <c r="B44" s="151" t="s">
        <v>355</v>
      </c>
      <c r="K44" s="37" t="s">
        <v>297</v>
      </c>
      <c r="L44" s="37" t="s">
        <v>185</v>
      </c>
      <c r="O44" s="253"/>
      <c r="Q44" s="129"/>
      <c r="R44" s="59" t="s">
        <v>318</v>
      </c>
      <c r="S44" s="104"/>
      <c r="T44" s="43" t="s">
        <v>246</v>
      </c>
      <c r="U44" s="43" t="s">
        <v>319</v>
      </c>
      <c r="V44" s="35" t="s">
        <v>320</v>
      </c>
      <c r="W44" s="43"/>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row>
    <row r="45" spans="2:57" s="30" customFormat="1" ht="15.6" customHeight="1" x14ac:dyDescent="0.2">
      <c r="B45" s="44" t="s">
        <v>461</v>
      </c>
      <c r="C45" s="471" t="s">
        <v>300</v>
      </c>
      <c r="D45" s="472"/>
      <c r="E45" s="472"/>
      <c r="F45" s="472"/>
      <c r="G45" s="473"/>
      <c r="J45" s="32" t="s">
        <v>424</v>
      </c>
      <c r="K45" s="92" t="str">
        <f>IF(ISNUMBER(L45),L45,IF(C45=Kalusto!$C$33,Kalusto!$E$33*1/IF(C46=Pudotusvalikot!$V$4,Muut!$F$45*(Muut!$F$15+Muut!$F$18),IF(C46=Pudotusvalikot!$V$5,Muut!$F$46*(Muut!$F$16+Muut!$F$19),IF(C46=Pudotusvalikot!$V$6,Muut!$F$47*(Muut!$F$17+Muut!$F$20),(Muut!$F$11+Muut!$F$13)))),IF(C45=Pudotusvalikot!$D$67,"--",VLOOKUP(C45,Kalusto!$C$5:$E$42,3,FALSE)*VLOOKUP(C46,Muut!$D$40:$E$43,2,FALSE))))</f>
        <v>--</v>
      </c>
      <c r="L45" s="39"/>
      <c r="M45" s="40" t="s">
        <v>189</v>
      </c>
      <c r="N45" s="40"/>
      <c r="O45" s="259"/>
      <c r="P45" s="58"/>
      <c r="Q45" s="34"/>
      <c r="R45" s="48" t="str">
        <f>IF(ISNUMBER(K45*V45),K45*V45,"")</f>
        <v/>
      </c>
      <c r="S45" s="98" t="s">
        <v>160</v>
      </c>
      <c r="T45" s="48" t="str">
        <f>IF(ISNUMBER(C47),C47,"")</f>
        <v/>
      </c>
      <c r="U45" s="62" t="str">
        <f>IF(D47="h","",IF(ISNUMBER(C47),C47,""))</f>
        <v/>
      </c>
      <c r="V45" s="48" t="str">
        <f>IF(ISNUMBER(T45),IF(D47="h",C47,IF(ISNUMBER(T45*U45),IF(D47="m3/h",T45/U45,T45*U45),"")),"")</f>
        <v/>
      </c>
      <c r="W45" s="104"/>
      <c r="X45" s="59"/>
      <c r="Y45" s="35"/>
      <c r="Z45" s="35"/>
      <c r="AA45" s="35"/>
      <c r="AB45" s="35"/>
      <c r="AC45" s="35"/>
      <c r="AD45" s="35"/>
      <c r="AE45" s="35"/>
      <c r="AF45" s="35"/>
      <c r="AG45" s="35"/>
      <c r="AH45" s="35"/>
      <c r="AI45" s="35"/>
      <c r="AJ45" s="35"/>
      <c r="AK45" s="35"/>
      <c r="AL45" s="35"/>
      <c r="AM45" s="35"/>
      <c r="AN45" s="36"/>
      <c r="AO45" s="36"/>
      <c r="AP45" s="36"/>
      <c r="AQ45" s="36"/>
      <c r="AR45" s="36"/>
      <c r="AS45" s="36"/>
      <c r="AT45" s="36"/>
      <c r="AU45" s="36"/>
      <c r="AV45" s="36"/>
      <c r="AW45" s="36"/>
      <c r="AX45" s="36"/>
      <c r="AY45" s="36"/>
      <c r="AZ45" s="36"/>
      <c r="BA45" s="36"/>
      <c r="BB45" s="36"/>
      <c r="BC45" s="36"/>
      <c r="BD45" s="36"/>
      <c r="BE45" s="36"/>
    </row>
    <row r="46" spans="2:57" s="30" customFormat="1" ht="15.6" customHeight="1" x14ac:dyDescent="0.2">
      <c r="B46" s="166" t="s">
        <v>460</v>
      </c>
      <c r="C46" s="156" t="s">
        <v>309</v>
      </c>
      <c r="D46" s="33"/>
      <c r="E46" s="33"/>
      <c r="F46" s="33"/>
      <c r="G46" s="33"/>
      <c r="J46" s="32"/>
      <c r="K46" s="32"/>
      <c r="L46" s="32"/>
      <c r="M46" s="32"/>
      <c r="N46" s="32"/>
      <c r="O46" s="265"/>
      <c r="P46" s="58"/>
      <c r="Q46" s="34"/>
      <c r="R46" s="59"/>
      <c r="S46" s="98"/>
      <c r="T46" s="59"/>
      <c r="U46" s="60"/>
      <c r="V46" s="59"/>
      <c r="W46" s="104"/>
      <c r="X46" s="59"/>
      <c r="Y46" s="35"/>
      <c r="Z46" s="35"/>
      <c r="AA46" s="35"/>
      <c r="AB46" s="35"/>
      <c r="AC46" s="35"/>
      <c r="AD46" s="35"/>
      <c r="AE46" s="35"/>
      <c r="AF46" s="35"/>
      <c r="AG46" s="35"/>
      <c r="AH46" s="35"/>
      <c r="AI46" s="35"/>
      <c r="AJ46" s="35"/>
      <c r="AK46" s="35"/>
      <c r="AL46" s="35"/>
      <c r="AM46" s="35"/>
      <c r="AN46" s="36"/>
      <c r="AO46" s="36"/>
      <c r="AP46" s="36"/>
      <c r="AQ46" s="36"/>
      <c r="AR46" s="36"/>
      <c r="AS46" s="36"/>
      <c r="AT46" s="36"/>
      <c r="AU46" s="36"/>
      <c r="AV46" s="36"/>
      <c r="AW46" s="36"/>
      <c r="AX46" s="36"/>
      <c r="AY46" s="36"/>
      <c r="AZ46" s="36"/>
      <c r="BA46" s="36"/>
      <c r="BB46" s="36"/>
      <c r="BC46" s="36"/>
      <c r="BD46" s="36"/>
      <c r="BE46" s="36"/>
    </row>
    <row r="47" spans="2:57" s="30" customFormat="1" ht="15" x14ac:dyDescent="0.2">
      <c r="B47" s="44" t="s">
        <v>357</v>
      </c>
      <c r="C47" s="155"/>
      <c r="D47" s="81" t="s">
        <v>51</v>
      </c>
      <c r="E47" s="33"/>
      <c r="F47" s="33"/>
      <c r="G47" s="33"/>
      <c r="J47" s="32"/>
      <c r="K47" s="37"/>
      <c r="L47" s="37"/>
      <c r="M47" s="81"/>
      <c r="N47" s="81"/>
      <c r="O47" s="96"/>
      <c r="P47" s="41"/>
      <c r="Q47" s="50"/>
      <c r="R47" s="107"/>
      <c r="S47" s="35"/>
      <c r="T47" s="35"/>
      <c r="U47" s="35"/>
      <c r="V47" s="35"/>
      <c r="W47" s="35"/>
      <c r="X47" s="35"/>
      <c r="Y47" s="35"/>
      <c r="Z47" s="35"/>
      <c r="AA47" s="35"/>
      <c r="AB47" s="35"/>
      <c r="AC47" s="35"/>
      <c r="AD47" s="35"/>
      <c r="AE47" s="35"/>
      <c r="AF47" s="35"/>
      <c r="AG47" s="35"/>
      <c r="AH47" s="35"/>
      <c r="AI47" s="35"/>
      <c r="AJ47" s="35"/>
      <c r="AK47" s="35"/>
      <c r="AL47" s="35"/>
      <c r="AM47" s="35"/>
      <c r="AN47" s="36"/>
      <c r="AO47" s="36"/>
      <c r="AP47" s="36"/>
      <c r="AQ47" s="36"/>
      <c r="AR47" s="36"/>
      <c r="AS47" s="36"/>
      <c r="AT47" s="36"/>
      <c r="AU47" s="36"/>
      <c r="AV47" s="36"/>
      <c r="AW47" s="36"/>
      <c r="AX47" s="36"/>
      <c r="AY47" s="36"/>
      <c r="AZ47" s="36"/>
      <c r="BA47" s="36"/>
      <c r="BB47" s="36"/>
      <c r="BC47" s="36"/>
      <c r="BD47" s="36"/>
      <c r="BE47" s="36"/>
    </row>
    <row r="48" spans="2:57" s="30" customFormat="1" ht="15" x14ac:dyDescent="0.2">
      <c r="B48" s="151" t="s">
        <v>356</v>
      </c>
      <c r="K48" s="37" t="s">
        <v>297</v>
      </c>
      <c r="L48" s="37" t="s">
        <v>185</v>
      </c>
      <c r="O48" s="253"/>
      <c r="Q48" s="129"/>
      <c r="R48" s="59" t="s">
        <v>318</v>
      </c>
      <c r="S48" s="104"/>
      <c r="T48" s="43" t="s">
        <v>246</v>
      </c>
      <c r="U48" s="43" t="s">
        <v>319</v>
      </c>
      <c r="V48" s="35" t="s">
        <v>320</v>
      </c>
      <c r="W48" s="43"/>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row>
    <row r="49" spans="2:59" s="30" customFormat="1" ht="15" x14ac:dyDescent="0.2">
      <c r="B49" s="44" t="s">
        <v>461</v>
      </c>
      <c r="C49" s="471" t="s">
        <v>300</v>
      </c>
      <c r="D49" s="472"/>
      <c r="E49" s="472"/>
      <c r="F49" s="472"/>
      <c r="G49" s="473"/>
      <c r="J49" s="32" t="s">
        <v>424</v>
      </c>
      <c r="K49" s="92" t="str">
        <f>IF(ISNUMBER(L49),L49,IF(C49=Kalusto!$C$33,Kalusto!$E$33*1/IF(C50=Pudotusvalikot!$V$4,Muut!$F$45*(Muut!$F$15+Muut!$F$18),IF(C50=Pudotusvalikot!$V$5,Muut!$F$46*(Muut!$F$16+Muut!$F$19),IF(C50=Pudotusvalikot!$V$6,Muut!$F$47*(Muut!$F$17+Muut!$F$20),(Muut!$F$11+Muut!$F$13)))),IF(C49=Pudotusvalikot!$D$67,"--",VLOOKUP(C49,Kalusto!$C$5:$E$42,3,FALSE)*VLOOKUP(C50,Muut!$D$40:$E$43,2,FALSE))))</f>
        <v>--</v>
      </c>
      <c r="L49" s="39"/>
      <c r="M49" s="40" t="s">
        <v>189</v>
      </c>
      <c r="N49" s="40"/>
      <c r="O49" s="259"/>
      <c r="P49" s="58"/>
      <c r="Q49" s="34"/>
      <c r="R49" s="48" t="str">
        <f>IF(ISNUMBER(K49*V49),K49*V49,"")</f>
        <v/>
      </c>
      <c r="S49" s="98" t="s">
        <v>160</v>
      </c>
      <c r="T49" s="48" t="str">
        <f>IF(ISNUMBER(C51),C51,"")</f>
        <v/>
      </c>
      <c r="U49" s="62" t="str">
        <f>IF(D51="h","",IF(ISNUMBER(C51),C51,""))</f>
        <v/>
      </c>
      <c r="V49" s="48" t="str">
        <f>IF(ISNUMBER(T49),IF(D51="h",C51,IF(ISNUMBER(T49*U49),IF(D51="m3/h",T49/U49,T49*U49),"")),"")</f>
        <v/>
      </c>
      <c r="W49" s="104"/>
      <c r="X49" s="59"/>
      <c r="Y49" s="35"/>
      <c r="Z49" s="35"/>
      <c r="AA49" s="35"/>
      <c r="AB49" s="35"/>
      <c r="AC49" s="35"/>
      <c r="AD49" s="35"/>
      <c r="AE49" s="35"/>
      <c r="AF49" s="35"/>
      <c r="AG49" s="35"/>
      <c r="AH49" s="35"/>
      <c r="AI49" s="35"/>
      <c r="AJ49" s="35"/>
      <c r="AK49" s="35"/>
      <c r="AL49" s="35"/>
      <c r="AM49" s="35"/>
      <c r="AN49" s="36"/>
      <c r="AO49" s="36"/>
      <c r="AP49" s="36"/>
      <c r="AQ49" s="36"/>
      <c r="AR49" s="36"/>
      <c r="AS49" s="36"/>
      <c r="AT49" s="36"/>
      <c r="AU49" s="36"/>
      <c r="AV49" s="36"/>
      <c r="AW49" s="36"/>
      <c r="AX49" s="36"/>
      <c r="AY49" s="36"/>
      <c r="AZ49" s="36"/>
      <c r="BA49" s="36"/>
      <c r="BB49" s="36"/>
      <c r="BC49" s="36"/>
      <c r="BD49" s="36"/>
      <c r="BE49" s="36"/>
    </row>
    <row r="50" spans="2:59" s="30" customFormat="1" ht="15" x14ac:dyDescent="0.2">
      <c r="B50" s="166" t="s">
        <v>460</v>
      </c>
      <c r="C50" s="156" t="s">
        <v>309</v>
      </c>
      <c r="D50" s="33"/>
      <c r="E50" s="33"/>
      <c r="F50" s="33"/>
      <c r="G50" s="33"/>
      <c r="J50" s="32"/>
      <c r="K50" s="32"/>
      <c r="L50" s="32"/>
      <c r="M50" s="32"/>
      <c r="N50" s="32"/>
      <c r="O50" s="265"/>
      <c r="P50" s="58"/>
      <c r="Q50" s="34"/>
      <c r="R50" s="59"/>
      <c r="S50" s="98"/>
      <c r="T50" s="59"/>
      <c r="U50" s="60"/>
      <c r="V50" s="59"/>
      <c r="W50" s="104"/>
      <c r="X50" s="59"/>
      <c r="Y50" s="35"/>
      <c r="Z50" s="35"/>
      <c r="AA50" s="35"/>
      <c r="AB50" s="35"/>
      <c r="AC50" s="35"/>
      <c r="AD50" s="35"/>
      <c r="AE50" s="35"/>
      <c r="AF50" s="35"/>
      <c r="AG50" s="35"/>
      <c r="AH50" s="35"/>
      <c r="AI50" s="35"/>
      <c r="AJ50" s="35"/>
      <c r="AK50" s="35"/>
      <c r="AL50" s="35"/>
      <c r="AM50" s="35"/>
      <c r="AN50" s="36"/>
      <c r="AO50" s="36"/>
      <c r="AP50" s="36"/>
      <c r="AQ50" s="36"/>
      <c r="AR50" s="36"/>
      <c r="AS50" s="36"/>
      <c r="AT50" s="36"/>
      <c r="AU50" s="36"/>
      <c r="AV50" s="36"/>
      <c r="AW50" s="36"/>
      <c r="AX50" s="36"/>
      <c r="AY50" s="36"/>
      <c r="AZ50" s="36"/>
      <c r="BA50" s="36"/>
      <c r="BB50" s="36"/>
      <c r="BC50" s="36"/>
      <c r="BD50" s="36"/>
      <c r="BE50" s="36"/>
    </row>
    <row r="51" spans="2:59" s="30" customFormat="1" ht="15" x14ac:dyDescent="0.2">
      <c r="B51" s="44" t="s">
        <v>357</v>
      </c>
      <c r="C51" s="155"/>
      <c r="D51" s="81" t="s">
        <v>51</v>
      </c>
      <c r="E51" s="33"/>
      <c r="F51" s="33"/>
      <c r="G51" s="33"/>
      <c r="J51" s="32"/>
      <c r="K51" s="33"/>
      <c r="L51" s="33"/>
      <c r="M51" s="81"/>
      <c r="N51" s="81"/>
      <c r="O51" s="96"/>
      <c r="P51" s="41"/>
      <c r="Q51" s="50"/>
      <c r="R51" s="107"/>
      <c r="S51" s="35"/>
      <c r="T51" s="35"/>
      <c r="U51" s="35"/>
      <c r="V51" s="35"/>
      <c r="W51" s="35"/>
      <c r="X51" s="35"/>
      <c r="Y51" s="35"/>
      <c r="Z51" s="35"/>
      <c r="AA51" s="35"/>
      <c r="AB51" s="35"/>
      <c r="AC51" s="35"/>
      <c r="AD51" s="35"/>
      <c r="AE51" s="35"/>
      <c r="AF51" s="35"/>
      <c r="AG51" s="35"/>
      <c r="AH51" s="35"/>
      <c r="AI51" s="35"/>
      <c r="AJ51" s="35"/>
      <c r="AK51" s="35"/>
      <c r="AL51" s="35"/>
      <c r="AM51" s="35"/>
      <c r="AN51" s="36"/>
      <c r="AO51" s="36"/>
      <c r="AP51" s="36"/>
      <c r="AQ51" s="36"/>
      <c r="AR51" s="36"/>
      <c r="AS51" s="36"/>
      <c r="AT51" s="36"/>
      <c r="AU51" s="36"/>
      <c r="AV51" s="36"/>
      <c r="AW51" s="36"/>
      <c r="AX51" s="36"/>
      <c r="AY51" s="36"/>
      <c r="AZ51" s="36"/>
      <c r="BA51" s="36"/>
      <c r="BB51" s="36"/>
      <c r="BC51" s="36"/>
      <c r="BD51" s="36"/>
      <c r="BE51" s="36"/>
    </row>
    <row r="52" spans="2:59" s="30" customFormat="1" ht="15" x14ac:dyDescent="0.2">
      <c r="C52" s="78"/>
      <c r="D52" s="81"/>
      <c r="G52" s="33"/>
      <c r="H52" s="81"/>
      <c r="J52" s="32"/>
      <c r="K52" s="33"/>
      <c r="L52" s="33"/>
      <c r="M52" s="81"/>
      <c r="N52" s="81"/>
      <c r="O52" s="81"/>
      <c r="Q52" s="34"/>
      <c r="R52" s="107"/>
      <c r="S52" s="35"/>
      <c r="T52" s="35"/>
      <c r="U52" s="35"/>
      <c r="V52" s="35"/>
      <c r="W52" s="35"/>
      <c r="X52" s="35"/>
      <c r="Y52" s="35"/>
      <c r="Z52" s="35"/>
      <c r="AA52" s="35"/>
      <c r="AB52" s="35"/>
      <c r="AC52" s="35"/>
      <c r="AD52" s="35"/>
      <c r="AE52" s="35"/>
      <c r="AF52" s="35"/>
      <c r="AG52" s="35"/>
      <c r="AH52" s="35"/>
      <c r="AI52" s="35"/>
      <c r="AJ52" s="35"/>
      <c r="AK52" s="35"/>
      <c r="AL52" s="35"/>
      <c r="AM52" s="35"/>
      <c r="AN52" s="36"/>
      <c r="AO52" s="36"/>
      <c r="AP52" s="36"/>
      <c r="AQ52" s="36"/>
      <c r="AR52" s="36"/>
      <c r="AS52" s="36"/>
      <c r="AT52" s="36"/>
      <c r="AU52" s="36"/>
      <c r="AV52" s="36"/>
      <c r="AW52" s="36"/>
      <c r="AX52" s="36"/>
      <c r="AY52" s="36"/>
      <c r="AZ52" s="36"/>
      <c r="BA52" s="36"/>
      <c r="BB52" s="36"/>
      <c r="BC52" s="36"/>
      <c r="BD52" s="36"/>
      <c r="BE52" s="36"/>
    </row>
    <row r="53" spans="2:59" s="289" customFormat="1" ht="18" x14ac:dyDescent="0.2">
      <c r="B53" s="286" t="s">
        <v>539</v>
      </c>
      <c r="C53" s="287"/>
      <c r="D53" s="288"/>
      <c r="G53" s="287"/>
      <c r="H53" s="288"/>
      <c r="K53" s="287"/>
      <c r="L53" s="287"/>
      <c r="M53" s="288"/>
      <c r="N53" s="288"/>
      <c r="O53" s="291"/>
      <c r="P53" s="311"/>
      <c r="Q53" s="295"/>
      <c r="S53" s="294"/>
      <c r="T53" s="294"/>
      <c r="U53" s="294"/>
      <c r="V53" s="294"/>
      <c r="W53" s="294"/>
      <c r="X53" s="294"/>
      <c r="Y53" s="294"/>
      <c r="Z53" s="294"/>
      <c r="AA53" s="294"/>
      <c r="AB53" s="294"/>
      <c r="AC53" s="294"/>
      <c r="AD53" s="294"/>
      <c r="AE53" s="294"/>
      <c r="AF53" s="294"/>
      <c r="AG53" s="294"/>
      <c r="AH53" s="294"/>
      <c r="AI53" s="294"/>
      <c r="AJ53" s="294"/>
      <c r="AK53" s="294"/>
      <c r="AL53" s="294"/>
      <c r="AM53" s="294"/>
      <c r="AN53" s="295"/>
      <c r="AO53" s="295"/>
      <c r="AP53" s="295"/>
      <c r="AQ53" s="295"/>
      <c r="AR53" s="295"/>
      <c r="AS53" s="295"/>
      <c r="AT53" s="295"/>
      <c r="AU53" s="295"/>
      <c r="AV53" s="295"/>
      <c r="AW53" s="295"/>
      <c r="AX53" s="295"/>
      <c r="AY53" s="295"/>
      <c r="AZ53" s="295"/>
      <c r="BA53" s="295"/>
      <c r="BB53" s="295"/>
      <c r="BC53" s="295"/>
      <c r="BD53" s="295"/>
      <c r="BE53" s="295"/>
    </row>
    <row r="54" spans="2:59" s="30" customFormat="1" ht="15" x14ac:dyDescent="0.2">
      <c r="B54" s="30" t="s">
        <v>736</v>
      </c>
      <c r="C54" s="33"/>
      <c r="D54" s="81"/>
      <c r="E54" s="33"/>
      <c r="F54" s="33"/>
      <c r="G54" s="37"/>
      <c r="H54" s="81"/>
      <c r="J54" s="32"/>
      <c r="K54" s="37"/>
      <c r="L54" s="37"/>
      <c r="M54" s="83"/>
      <c r="N54" s="83"/>
      <c r="O54" s="249"/>
      <c r="P54" s="37"/>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4"/>
      <c r="AQ54" s="54"/>
      <c r="AR54" s="54"/>
      <c r="AS54" s="54"/>
      <c r="AT54" s="54"/>
      <c r="AU54" s="54"/>
      <c r="AV54" s="54"/>
      <c r="AW54" s="54"/>
      <c r="AX54" s="54"/>
      <c r="AY54" s="54"/>
      <c r="AZ54" s="54"/>
      <c r="BA54" s="54"/>
      <c r="BB54" s="54"/>
      <c r="BC54" s="54"/>
      <c r="BD54" s="54"/>
      <c r="BE54" s="54"/>
      <c r="BF54" s="54"/>
      <c r="BG54" s="54"/>
    </row>
    <row r="55" spans="2:59" s="30" customFormat="1" ht="15.75" x14ac:dyDescent="0.2">
      <c r="B55" s="8"/>
      <c r="C55" s="33"/>
      <c r="D55" s="81"/>
      <c r="E55" s="33"/>
      <c r="F55" s="33"/>
      <c r="G55" s="37"/>
      <c r="H55" s="81"/>
      <c r="J55" s="32"/>
      <c r="K55" s="37"/>
      <c r="L55" s="37"/>
      <c r="M55" s="83"/>
      <c r="N55" s="83"/>
      <c r="O55" s="249" t="s">
        <v>584</v>
      </c>
      <c r="P55" s="37"/>
      <c r="Q55" s="34"/>
      <c r="R55" s="102"/>
      <c r="S55" s="35"/>
      <c r="T55" s="35"/>
      <c r="U55" s="35"/>
      <c r="V55" s="43"/>
      <c r="W55" s="35"/>
      <c r="X55" s="43"/>
      <c r="Y55" s="43"/>
      <c r="Z55" s="43"/>
      <c r="AA55" s="43"/>
      <c r="AB55" s="43"/>
      <c r="AC55" s="43"/>
      <c r="AD55" s="43"/>
      <c r="AE55" s="43"/>
      <c r="AF55" s="43"/>
      <c r="AG55" s="43"/>
      <c r="AH55" s="43"/>
      <c r="AI55" s="35"/>
      <c r="AJ55" s="35"/>
      <c r="AK55" s="35"/>
      <c r="AL55" s="35"/>
      <c r="AM55" s="35"/>
      <c r="AN55" s="36"/>
      <c r="AO55" s="36"/>
      <c r="AP55" s="36"/>
      <c r="AQ55" s="36"/>
      <c r="AR55" s="36"/>
      <c r="AS55" s="36"/>
      <c r="AT55" s="36"/>
      <c r="AU55" s="36"/>
      <c r="AV55" s="36"/>
      <c r="AW55" s="36"/>
      <c r="AX55" s="36"/>
      <c r="AY55" s="36"/>
      <c r="AZ55" s="36"/>
      <c r="BA55" s="36"/>
      <c r="BB55" s="36"/>
      <c r="BC55" s="36"/>
      <c r="BD55" s="36"/>
      <c r="BE55" s="36"/>
    </row>
    <row r="56" spans="2:59" s="30" customFormat="1" ht="15" x14ac:dyDescent="0.2">
      <c r="B56" s="151" t="s">
        <v>411</v>
      </c>
      <c r="C56" s="33" t="s">
        <v>50</v>
      </c>
      <c r="D56" s="81"/>
      <c r="E56" s="33"/>
      <c r="F56" s="33"/>
      <c r="G56" s="37" t="s">
        <v>183</v>
      </c>
      <c r="H56" s="81"/>
      <c r="J56" s="32"/>
      <c r="K56" s="37" t="s">
        <v>297</v>
      </c>
      <c r="L56" s="37" t="s">
        <v>185</v>
      </c>
      <c r="M56" s="83"/>
      <c r="N56" s="83"/>
      <c r="O56" s="250"/>
      <c r="P56" s="37"/>
      <c r="Q56" s="34"/>
      <c r="R56" s="59" t="s">
        <v>318</v>
      </c>
      <c r="S56" s="35"/>
      <c r="T56" s="35" t="s">
        <v>400</v>
      </c>
      <c r="U56" s="35" t="s">
        <v>399</v>
      </c>
      <c r="V56" s="43" t="s">
        <v>397</v>
      </c>
      <c r="W56" s="35" t="s">
        <v>398</v>
      </c>
      <c r="X56" s="43" t="s">
        <v>401</v>
      </c>
      <c r="Y56" s="43" t="s">
        <v>403</v>
      </c>
      <c r="Z56" s="43" t="s">
        <v>402</v>
      </c>
      <c r="AA56" s="43" t="s">
        <v>186</v>
      </c>
      <c r="AB56" s="43" t="s">
        <v>345</v>
      </c>
      <c r="AC56" s="43" t="s">
        <v>404</v>
      </c>
      <c r="AD56" s="43" t="s">
        <v>346</v>
      </c>
      <c r="AE56" s="43" t="s">
        <v>405</v>
      </c>
      <c r="AF56" s="43" t="s">
        <v>406</v>
      </c>
      <c r="AG56" s="43" t="s">
        <v>578</v>
      </c>
      <c r="AH56" s="35" t="s">
        <v>190</v>
      </c>
      <c r="AI56" s="35" t="s">
        <v>249</v>
      </c>
      <c r="AJ56" s="35" t="s">
        <v>191</v>
      </c>
      <c r="AK56" s="104"/>
      <c r="AL56" s="35"/>
      <c r="AM56" s="35"/>
      <c r="AN56" s="36"/>
      <c r="AO56" s="36"/>
      <c r="AP56" s="36"/>
      <c r="AQ56" s="36"/>
      <c r="AR56" s="36"/>
      <c r="AS56" s="36"/>
      <c r="AT56" s="36"/>
      <c r="AU56" s="36"/>
      <c r="AV56" s="36"/>
      <c r="AW56" s="36"/>
      <c r="AX56" s="36"/>
      <c r="AY56" s="36"/>
      <c r="AZ56" s="36"/>
      <c r="BA56" s="36"/>
      <c r="BB56" s="36"/>
      <c r="BC56" s="36"/>
      <c r="BD56" s="36"/>
      <c r="BE56" s="36"/>
    </row>
    <row r="57" spans="2:59" s="30" customFormat="1" ht="30" x14ac:dyDescent="0.2">
      <c r="B57" s="166" t="s">
        <v>464</v>
      </c>
      <c r="C57" s="152"/>
      <c r="D57" s="86" t="s">
        <v>163</v>
      </c>
      <c r="E57" s="172"/>
      <c r="F57" s="55"/>
      <c r="G57" s="157"/>
      <c r="H57" s="81" t="str">
        <f>IF(D57="t","t/t","t/m3")</f>
        <v>t/m3</v>
      </c>
      <c r="I57" s="166"/>
      <c r="J57" s="169" t="s">
        <v>395</v>
      </c>
      <c r="K57" s="92" t="str">
        <f>IFERROR(IF(ISNUMBER(L57),L57,(VLOOKUP(C58,Kalusto!$C$45:$G$84,5,FALSE)*VLOOKUP(C59,Muut!$D$40:$E$43,2,FALSE))),"--")</f>
        <v>--</v>
      </c>
      <c r="L57" s="39"/>
      <c r="M57" s="40" t="s">
        <v>184</v>
      </c>
      <c r="N57" s="40"/>
      <c r="O57" s="259"/>
      <c r="Q57" s="45"/>
      <c r="R57" s="48" t="str">
        <f>IF(AND(NOT(ISNUMBER(AB57)),NOT(ISNUMBER(AG57))),"",IF(ISNUMBER(AB57),AB57,0)+IF(ISNUMBER(AG57),AG57,0))</f>
        <v/>
      </c>
      <c r="S57" s="98" t="s">
        <v>160</v>
      </c>
      <c r="T57" s="46" t="str">
        <f>IFERROR(IF(ISNUMBER(L57),"Kohdetieto",VLOOKUP(C58,Kalusto!$C$45:$L$84,7,FALSE)),"--")</f>
        <v>--</v>
      </c>
      <c r="U57" s="46" t="str">
        <f>IFERROR(IF(ISNUMBER(L57),"Kohdetieto",VLOOKUP(C58,Kalusto!$C$45:$L$84,8,FALSE)),"--")</f>
        <v>--</v>
      </c>
      <c r="V57" s="47" t="str">
        <f>IFERROR(IF(ISNUMBER(L57),"Kohdetieto",VLOOKUP(C58,Kalusto!$C$45:$L$84,9,FALSE)),"--")</f>
        <v>--</v>
      </c>
      <c r="W57" s="47" t="str">
        <f>IFERROR(IF(ISNUMBER(L57),"Kohdetieto",VLOOKUP(C58,Kalusto!$C$45:$L$84,10,FALSE)),"--")</f>
        <v>--</v>
      </c>
      <c r="X57" s="48" t="str">
        <f>IF(ISBLANK(C57),"",IF(D57="t",C57,C57*G57))</f>
        <v/>
      </c>
      <c r="Y57" s="46" t="str">
        <f>IF(ISNUMBER(C60),C60,"")</f>
        <v/>
      </c>
      <c r="Z57" s="48" t="str">
        <f>IF(ISNUMBER(X57/(U57*V57)*Y57),X57/(U57*V57)*Y57,"")</f>
        <v/>
      </c>
      <c r="AA57" s="49" t="str">
        <f>IF(ISNUMBER(L57),L57,K57)</f>
        <v>--</v>
      </c>
      <c r="AB57" s="48" t="str">
        <f>IF(ISNUMBER(Y57*X57*K57),Y57*X57*K57,"")</f>
        <v/>
      </c>
      <c r="AC57" s="48" t="str">
        <f>IF(C82="Kyllä",Y57,"")</f>
        <v/>
      </c>
      <c r="AD57" s="48" t="str">
        <f>IF(C82="Kyllä",IF(ISNUMBER(X57/(U57*V57)),X57/(U57*V57),""),"")</f>
        <v/>
      </c>
      <c r="AE57" s="48" t="str">
        <f>IF(ISNUMBER(AD57*AC57),AD57*AC57,"")</f>
        <v/>
      </c>
      <c r="AF57" s="49" t="str">
        <f>IF(ISNUMBER(L58),L58,K58)</f>
        <v>--</v>
      </c>
      <c r="AG57" s="48" t="str">
        <f>IF(ISNUMBER(AC57*AD57*K58),AC57*AD57*K58,"")</f>
        <v/>
      </c>
      <c r="AH57" s="46">
        <f>IF(T57="Jakelukuorma-auto",0,IF(T57="Maansiirtoauto",4,IF(T57="Puoliperävaunu",6,8)))</f>
        <v>8</v>
      </c>
      <c r="AI57" s="46">
        <f>IF(AND(T57="Jakelukuorma-auto",U57=6),0,IF(AND(T57="Jakelukuorma-auto",U57=15),2,0))</f>
        <v>0</v>
      </c>
      <c r="AJ57" s="46">
        <f>IF(W57="maantieajo",0,1)</f>
        <v>1</v>
      </c>
      <c r="AK57" s="104"/>
      <c r="AL57" s="35"/>
      <c r="AM57" s="35"/>
      <c r="AN57" s="36"/>
      <c r="AO57" s="36"/>
      <c r="AP57" s="36"/>
      <c r="AQ57" s="36"/>
      <c r="AR57" s="36"/>
      <c r="AS57" s="36"/>
      <c r="AT57" s="36"/>
      <c r="AU57" s="36"/>
      <c r="AV57" s="36"/>
      <c r="AW57" s="36"/>
      <c r="AX57" s="36"/>
      <c r="AY57" s="36"/>
      <c r="AZ57" s="36"/>
      <c r="BA57" s="36"/>
      <c r="BB57" s="36"/>
      <c r="BC57" s="36"/>
      <c r="BD57" s="36"/>
      <c r="BE57" s="36"/>
    </row>
    <row r="58" spans="2:59" s="30" customFormat="1" ht="30" x14ac:dyDescent="0.2">
      <c r="B58" s="166" t="s">
        <v>463</v>
      </c>
      <c r="C58" s="471" t="s">
        <v>298</v>
      </c>
      <c r="D58" s="472"/>
      <c r="E58" s="472"/>
      <c r="F58" s="472"/>
      <c r="G58" s="473"/>
      <c r="H58" s="52"/>
      <c r="J58" s="32" t="s">
        <v>396</v>
      </c>
      <c r="K58" s="92" t="str">
        <f>IFERROR(IF(ISNUMBER(L58),L58,IF($C$82="Ei","",(VLOOKUP(C58,Kalusto!$C$45:$V$84,19,FALSE)*(VLOOKUP(C59,Muut!$D$40:$E$43,2,FALSE))))),"--")</f>
        <v>--</v>
      </c>
      <c r="L58" s="39"/>
      <c r="M58" s="40" t="s">
        <v>188</v>
      </c>
      <c r="N58" s="40"/>
      <c r="O58" s="259"/>
      <c r="P58" s="33"/>
      <c r="Q58" s="50"/>
      <c r="R58" s="35"/>
      <c r="S58" s="35"/>
      <c r="T58" s="35"/>
      <c r="U58" s="35"/>
      <c r="V58" s="35"/>
      <c r="W58" s="35"/>
      <c r="X58" s="35"/>
      <c r="Y58" s="35"/>
      <c r="Z58" s="35"/>
      <c r="AA58" s="35"/>
      <c r="AB58" s="35"/>
      <c r="AC58" s="35"/>
      <c r="AD58" s="35"/>
      <c r="AE58" s="35"/>
      <c r="AF58" s="35"/>
      <c r="AG58" s="35"/>
      <c r="AH58" s="35"/>
      <c r="AI58" s="35"/>
      <c r="AJ58" s="35"/>
      <c r="AK58" s="104"/>
      <c r="AL58" s="35"/>
      <c r="AM58" s="35"/>
      <c r="AN58" s="36"/>
      <c r="AO58" s="36"/>
      <c r="AP58" s="36"/>
      <c r="AQ58" s="36"/>
      <c r="AR58" s="36"/>
      <c r="AS58" s="36"/>
      <c r="AT58" s="36"/>
      <c r="AU58" s="36"/>
      <c r="AV58" s="36"/>
      <c r="AW58" s="36"/>
      <c r="AX58" s="36"/>
      <c r="AY58" s="36"/>
      <c r="AZ58" s="36"/>
      <c r="BA58" s="36"/>
      <c r="BB58" s="36"/>
      <c r="BC58" s="36"/>
      <c r="BD58" s="36"/>
      <c r="BE58" s="36"/>
    </row>
    <row r="59" spans="2:59" s="30" customFormat="1" ht="15" x14ac:dyDescent="0.2">
      <c r="B59" s="182" t="s">
        <v>457</v>
      </c>
      <c r="C59" s="156" t="s">
        <v>309</v>
      </c>
      <c r="D59" s="33"/>
      <c r="E59" s="33"/>
      <c r="F59" s="33"/>
      <c r="G59" s="33"/>
      <c r="H59" s="57"/>
      <c r="J59" s="169"/>
      <c r="K59" s="169"/>
      <c r="L59" s="169"/>
      <c r="M59" s="40"/>
      <c r="N59" s="40"/>
      <c r="O59" s="259"/>
      <c r="Q59" s="45"/>
      <c r="R59" s="98"/>
      <c r="S59" s="98"/>
      <c r="T59" s="35"/>
      <c r="U59" s="35"/>
      <c r="V59" s="177"/>
      <c r="W59" s="177"/>
      <c r="X59" s="59"/>
      <c r="Y59" s="35"/>
      <c r="Z59" s="59"/>
      <c r="AA59" s="178"/>
      <c r="AB59" s="59"/>
      <c r="AC59" s="59"/>
      <c r="AD59" s="59"/>
      <c r="AE59" s="59"/>
      <c r="AF59" s="178"/>
      <c r="AG59" s="59"/>
      <c r="AH59" s="35"/>
      <c r="AI59" s="35"/>
      <c r="AJ59" s="35"/>
      <c r="AK59" s="104"/>
      <c r="AL59" s="35"/>
      <c r="AM59" s="35"/>
      <c r="AN59" s="36"/>
      <c r="AO59" s="36"/>
      <c r="AP59" s="36"/>
      <c r="AQ59" s="36"/>
      <c r="AR59" s="36"/>
      <c r="AS59" s="36"/>
      <c r="AT59" s="36"/>
      <c r="AU59" s="36"/>
      <c r="AV59" s="36"/>
      <c r="AW59" s="36"/>
      <c r="AX59" s="36"/>
      <c r="AY59" s="36"/>
      <c r="AZ59" s="36"/>
      <c r="BA59" s="36"/>
      <c r="BB59" s="36"/>
      <c r="BC59" s="36"/>
      <c r="BD59" s="36"/>
      <c r="BE59" s="36"/>
    </row>
    <row r="60" spans="2:59" s="30" customFormat="1" ht="15" x14ac:dyDescent="0.2">
      <c r="B60" s="44" t="s">
        <v>465</v>
      </c>
      <c r="C60" s="152"/>
      <c r="D60" s="81" t="s">
        <v>5</v>
      </c>
      <c r="G60" s="33"/>
      <c r="H60" s="52"/>
      <c r="J60" s="51"/>
      <c r="K60" s="33"/>
      <c r="L60" s="33"/>
      <c r="M60" s="81"/>
      <c r="N60" s="81"/>
      <c r="O60" s="96"/>
      <c r="P60" s="51"/>
      <c r="Q60" s="50"/>
      <c r="R60" s="35"/>
      <c r="S60" s="35"/>
      <c r="T60" s="35"/>
      <c r="U60" s="35"/>
      <c r="V60" s="35"/>
      <c r="W60" s="35"/>
      <c r="X60" s="35"/>
      <c r="Y60" s="35"/>
      <c r="Z60" s="35"/>
      <c r="AA60" s="35"/>
      <c r="AB60" s="35"/>
      <c r="AC60" s="35"/>
      <c r="AD60" s="35"/>
      <c r="AE60" s="35"/>
      <c r="AF60" s="35"/>
      <c r="AG60" s="35"/>
      <c r="AH60" s="35"/>
      <c r="AI60" s="35"/>
      <c r="AJ60" s="35"/>
      <c r="AK60" s="104"/>
      <c r="AL60" s="35"/>
      <c r="AM60" s="35"/>
      <c r="AN60" s="36"/>
      <c r="AO60" s="36"/>
      <c r="AP60" s="36"/>
      <c r="AQ60" s="36"/>
      <c r="AR60" s="36"/>
      <c r="AS60" s="36"/>
      <c r="AT60" s="36"/>
      <c r="AU60" s="36"/>
      <c r="AV60" s="36"/>
      <c r="AW60" s="36"/>
      <c r="AX60" s="36"/>
      <c r="AY60" s="36"/>
      <c r="AZ60" s="36"/>
      <c r="BA60" s="36"/>
      <c r="BB60" s="36"/>
      <c r="BC60" s="36"/>
      <c r="BD60" s="36"/>
      <c r="BE60" s="36"/>
    </row>
    <row r="61" spans="2:59" s="30" customFormat="1" ht="15" x14ac:dyDescent="0.2">
      <c r="B61" s="151" t="s">
        <v>412</v>
      </c>
      <c r="C61" s="33"/>
      <c r="D61" s="81"/>
      <c r="G61" s="33"/>
      <c r="H61" s="81"/>
      <c r="J61" s="32"/>
      <c r="K61" s="37" t="s">
        <v>297</v>
      </c>
      <c r="L61" s="37" t="s">
        <v>185</v>
      </c>
      <c r="M61" s="81"/>
      <c r="N61" s="81"/>
      <c r="O61" s="96"/>
      <c r="P61" s="33"/>
      <c r="Q61" s="34"/>
      <c r="R61" s="59" t="s">
        <v>318</v>
      </c>
      <c r="S61" s="35"/>
      <c r="T61" s="35" t="s">
        <v>400</v>
      </c>
      <c r="U61" s="35" t="s">
        <v>399</v>
      </c>
      <c r="V61" s="43" t="s">
        <v>397</v>
      </c>
      <c r="W61" s="35" t="s">
        <v>398</v>
      </c>
      <c r="X61" s="43" t="s">
        <v>401</v>
      </c>
      <c r="Y61" s="43" t="s">
        <v>403</v>
      </c>
      <c r="Z61" s="43" t="s">
        <v>402</v>
      </c>
      <c r="AA61" s="43" t="s">
        <v>186</v>
      </c>
      <c r="AB61" s="43" t="s">
        <v>345</v>
      </c>
      <c r="AC61" s="43" t="s">
        <v>404</v>
      </c>
      <c r="AD61" s="43" t="s">
        <v>346</v>
      </c>
      <c r="AE61" s="43" t="s">
        <v>405</v>
      </c>
      <c r="AF61" s="43" t="s">
        <v>406</v>
      </c>
      <c r="AG61" s="43" t="s">
        <v>578</v>
      </c>
      <c r="AH61" s="35" t="s">
        <v>190</v>
      </c>
      <c r="AI61" s="35" t="s">
        <v>249</v>
      </c>
      <c r="AJ61" s="35" t="s">
        <v>191</v>
      </c>
      <c r="AK61" s="104"/>
      <c r="AL61" s="35"/>
      <c r="AM61" s="35"/>
      <c r="AN61" s="36"/>
      <c r="AO61" s="36"/>
      <c r="AP61" s="36"/>
      <c r="AQ61" s="36"/>
      <c r="AR61" s="36"/>
      <c r="AS61" s="36"/>
      <c r="AT61" s="36"/>
      <c r="AU61" s="36"/>
      <c r="AV61" s="36"/>
      <c r="AW61" s="36"/>
      <c r="AX61" s="36"/>
      <c r="AY61" s="36"/>
      <c r="AZ61" s="36"/>
      <c r="BA61" s="36"/>
      <c r="BB61" s="36"/>
      <c r="BC61" s="36"/>
      <c r="BD61" s="36"/>
      <c r="BE61" s="36"/>
    </row>
    <row r="62" spans="2:59" s="30" customFormat="1" ht="30" x14ac:dyDescent="0.2">
      <c r="B62" s="166" t="s">
        <v>464</v>
      </c>
      <c r="C62" s="385"/>
      <c r="D62" s="86" t="s">
        <v>390</v>
      </c>
      <c r="E62" s="172"/>
      <c r="F62" s="55"/>
      <c r="G62" s="157"/>
      <c r="H62" s="81" t="str">
        <f>IF(D62="t","t/t","t/m3")</f>
        <v>t/m3</v>
      </c>
      <c r="J62" s="169" t="s">
        <v>395</v>
      </c>
      <c r="K62" s="92" t="str">
        <f>IFERROR(IF(ISNUMBER(L62),L62,(VLOOKUP(C63,Kalusto!$C$45:$G$84,5,FALSE)*VLOOKUP(C64,Muut!$D$40:$E$43,2,FALSE))),"--")</f>
        <v>--</v>
      </c>
      <c r="L62" s="39"/>
      <c r="M62" s="40" t="s">
        <v>184</v>
      </c>
      <c r="N62" s="40"/>
      <c r="O62" s="259"/>
      <c r="Q62" s="45"/>
      <c r="R62" s="48" t="str">
        <f>IF(AND(NOT(ISNUMBER(AB62)),NOT(ISNUMBER(AG62))),"",IF(ISNUMBER(AB62),AB62,0)+IF(ISNUMBER(AG62),AG62,0))</f>
        <v/>
      </c>
      <c r="S62" s="98" t="s">
        <v>160</v>
      </c>
      <c r="T62" s="46" t="str">
        <f>IFERROR(IF(ISNUMBER(L62),"Kohdetieto",VLOOKUP(C63,Kalusto!$C$45:$L$84,7,FALSE)),"--")</f>
        <v>--</v>
      </c>
      <c r="U62" s="46" t="str">
        <f>IFERROR(IF(ISNUMBER(L62),"Kohdetieto",VLOOKUP(C63,Kalusto!$C$45:$L$84,8,FALSE)),"--")</f>
        <v>--</v>
      </c>
      <c r="V62" s="47" t="str">
        <f>IFERROR(IF(ISNUMBER(L62),"Kohdetieto",VLOOKUP(C63,Kalusto!$C$45:$L$84,9,FALSE)),"--")</f>
        <v>--</v>
      </c>
      <c r="W62" s="47" t="str">
        <f>IFERROR(IF(ISNUMBER(L62),"Kohdetieto",VLOOKUP(C63,Kalusto!$C$45:$L$84,10,FALSE)),"--")</f>
        <v>--</v>
      </c>
      <c r="X62" s="48" t="str">
        <f>IF(ISBLANK(C62),"",IF(D62="t",C62,C62*G62))</f>
        <v/>
      </c>
      <c r="Y62" s="46" t="str">
        <f>IF(ISNUMBER(C65),C65,"")</f>
        <v/>
      </c>
      <c r="Z62" s="48" t="str">
        <f>IF(ISNUMBER(X62/(U62*V62)*Y62),X62/(U62*V62)*Y62,"")</f>
        <v/>
      </c>
      <c r="AA62" s="49" t="str">
        <f>IF(ISNUMBER(L62),L62,K62)</f>
        <v>--</v>
      </c>
      <c r="AB62" s="48" t="str">
        <f>IF(ISNUMBER(Y62*X62*K62),Y62*X62*K62,"")</f>
        <v/>
      </c>
      <c r="AC62" s="48" t="str">
        <f>IF(C82="Kyllä",Y62,"")</f>
        <v/>
      </c>
      <c r="AD62" s="48" t="str">
        <f>IF(C82="Kyllä",IF(ISNUMBER(X62/(U62*V62)),X62/(U62*V62),""),"")</f>
        <v/>
      </c>
      <c r="AE62" s="48" t="str">
        <f>IF(ISNUMBER(AD62*AC62),AD62*AC62,"")</f>
        <v/>
      </c>
      <c r="AF62" s="49" t="str">
        <f>IF(ISNUMBER(L63),L63,K63)</f>
        <v>--</v>
      </c>
      <c r="AG62" s="48" t="str">
        <f>IF(ISNUMBER(AC62*AD62*K63),AC62*AD62*K63,"")</f>
        <v/>
      </c>
      <c r="AH62" s="46">
        <f>IF(T62="Jakelukuorma-auto",0,IF(T62="Maansiirtoauto",4,IF(T62="Puoliperävaunu",6,8)))</f>
        <v>8</v>
      </c>
      <c r="AI62" s="46">
        <f>IF(AND(T62="Jakelukuorma-auto",U62=6),0,IF(AND(T62="Jakelukuorma-auto",U62=15),2,0))</f>
        <v>0</v>
      </c>
      <c r="AJ62" s="46">
        <f>IF(W62="maantieajo",0,1)</f>
        <v>1</v>
      </c>
      <c r="AK62" s="104"/>
      <c r="AL62" s="35"/>
      <c r="AM62" s="35"/>
      <c r="AN62" s="36"/>
      <c r="AO62" s="36"/>
      <c r="AP62" s="36"/>
      <c r="AQ62" s="36"/>
      <c r="AR62" s="36"/>
      <c r="AS62" s="36"/>
      <c r="AT62" s="36"/>
      <c r="AU62" s="36"/>
      <c r="AV62" s="36"/>
      <c r="AW62" s="36"/>
      <c r="AX62" s="36"/>
      <c r="AY62" s="36"/>
      <c r="AZ62" s="36"/>
      <c r="BA62" s="36"/>
      <c r="BB62" s="36"/>
      <c r="BC62" s="36"/>
      <c r="BD62" s="36"/>
      <c r="BE62" s="36"/>
    </row>
    <row r="63" spans="2:59" s="30" customFormat="1" ht="30" x14ac:dyDescent="0.2">
      <c r="B63" s="166" t="s">
        <v>463</v>
      </c>
      <c r="C63" s="471" t="s">
        <v>298</v>
      </c>
      <c r="D63" s="472"/>
      <c r="E63" s="472"/>
      <c r="F63" s="472"/>
      <c r="G63" s="473"/>
      <c r="H63" s="81"/>
      <c r="J63" s="32" t="s">
        <v>396</v>
      </c>
      <c r="K63" s="92" t="str">
        <f>IFERROR(IF(ISNUMBER(L63),L63,IF($C$82="Ei","",(VLOOKUP(C63,Kalusto!$C$45:$V$84,19,FALSE)*(VLOOKUP(C64,Muut!$D$40:$E$43,2,FALSE))))),"--")</f>
        <v>--</v>
      </c>
      <c r="L63" s="39"/>
      <c r="M63" s="40" t="s">
        <v>188</v>
      </c>
      <c r="N63" s="40"/>
      <c r="O63" s="259"/>
      <c r="P63" s="33"/>
      <c r="Q63" s="50"/>
      <c r="R63" s="35"/>
      <c r="S63" s="35"/>
      <c r="T63" s="35"/>
      <c r="U63" s="35"/>
      <c r="V63" s="35"/>
      <c r="W63" s="35"/>
      <c r="X63" s="35"/>
      <c r="Y63" s="35"/>
      <c r="Z63" s="35"/>
      <c r="AA63" s="35"/>
      <c r="AB63" s="35"/>
      <c r="AC63" s="35"/>
      <c r="AD63" s="35"/>
      <c r="AE63" s="35"/>
      <c r="AF63" s="35"/>
      <c r="AG63" s="35"/>
      <c r="AH63" s="35"/>
      <c r="AI63" s="35"/>
      <c r="AJ63" s="35"/>
      <c r="AK63" s="104"/>
      <c r="AL63" s="35"/>
      <c r="AM63" s="35"/>
      <c r="AN63" s="36"/>
      <c r="AO63" s="36"/>
      <c r="AP63" s="36"/>
      <c r="AQ63" s="36"/>
      <c r="AR63" s="36"/>
      <c r="AS63" s="36"/>
      <c r="AT63" s="36"/>
      <c r="AU63" s="36"/>
      <c r="AV63" s="36"/>
      <c r="AW63" s="36"/>
      <c r="AX63" s="36"/>
      <c r="AY63" s="36"/>
      <c r="AZ63" s="36"/>
      <c r="BA63" s="36"/>
      <c r="BB63" s="36"/>
      <c r="BC63" s="36"/>
      <c r="BD63" s="36"/>
      <c r="BE63" s="36"/>
    </row>
    <row r="64" spans="2:59" s="30" customFormat="1" ht="15" x14ac:dyDescent="0.2">
      <c r="B64" s="182" t="s">
        <v>457</v>
      </c>
      <c r="C64" s="156" t="s">
        <v>309</v>
      </c>
      <c r="D64" s="33"/>
      <c r="E64" s="33"/>
      <c r="F64" s="33"/>
      <c r="G64" s="33"/>
      <c r="H64" s="57"/>
      <c r="J64" s="169"/>
      <c r="K64" s="169"/>
      <c r="L64" s="169"/>
      <c r="M64" s="40"/>
      <c r="N64" s="40"/>
      <c r="O64" s="259"/>
      <c r="Q64" s="45"/>
      <c r="R64" s="98"/>
      <c r="S64" s="98"/>
      <c r="T64" s="35"/>
      <c r="U64" s="35"/>
      <c r="V64" s="177"/>
      <c r="W64" s="177"/>
      <c r="X64" s="59"/>
      <c r="Y64" s="35"/>
      <c r="Z64" s="59"/>
      <c r="AA64" s="178"/>
      <c r="AB64" s="59"/>
      <c r="AC64" s="59"/>
      <c r="AD64" s="59"/>
      <c r="AE64" s="59"/>
      <c r="AF64" s="178"/>
      <c r="AG64" s="59"/>
      <c r="AH64" s="35"/>
      <c r="AI64" s="35"/>
      <c r="AJ64" s="35"/>
      <c r="AK64" s="104"/>
      <c r="AL64" s="35"/>
      <c r="AM64" s="35"/>
      <c r="AN64" s="36"/>
      <c r="AO64" s="36"/>
      <c r="AP64" s="36"/>
      <c r="AQ64" s="36"/>
      <c r="AR64" s="36"/>
      <c r="AS64" s="36"/>
      <c r="AT64" s="36"/>
      <c r="AU64" s="36"/>
      <c r="AV64" s="36"/>
      <c r="AW64" s="36"/>
      <c r="AX64" s="36"/>
      <c r="AY64" s="36"/>
      <c r="AZ64" s="36"/>
      <c r="BA64" s="36"/>
      <c r="BB64" s="36"/>
      <c r="BC64" s="36"/>
      <c r="BD64" s="36"/>
      <c r="BE64" s="36"/>
    </row>
    <row r="65" spans="2:57" s="30" customFormat="1" ht="15" x14ac:dyDescent="0.2">
      <c r="B65" s="44" t="s">
        <v>465</v>
      </c>
      <c r="C65" s="386"/>
      <c r="D65" s="81" t="s">
        <v>5</v>
      </c>
      <c r="G65" s="33"/>
      <c r="H65" s="81"/>
      <c r="J65" s="51"/>
      <c r="K65" s="33"/>
      <c r="L65" s="33"/>
      <c r="M65" s="81"/>
      <c r="N65" s="81"/>
      <c r="O65" s="96"/>
      <c r="P65" s="51"/>
      <c r="Q65" s="50"/>
      <c r="R65" s="35"/>
      <c r="S65" s="35"/>
      <c r="T65" s="35"/>
      <c r="U65" s="35"/>
      <c r="V65" s="35"/>
      <c r="W65" s="35"/>
      <c r="X65" s="35"/>
      <c r="Y65" s="35"/>
      <c r="Z65" s="35"/>
      <c r="AA65" s="35"/>
      <c r="AB65" s="35"/>
      <c r="AC65" s="35"/>
      <c r="AD65" s="35"/>
      <c r="AE65" s="35"/>
      <c r="AF65" s="35"/>
      <c r="AG65" s="35"/>
      <c r="AH65" s="35"/>
      <c r="AI65" s="35"/>
      <c r="AJ65" s="35"/>
      <c r="AK65" s="104"/>
      <c r="AL65" s="35"/>
      <c r="AM65" s="35"/>
      <c r="AN65" s="36"/>
      <c r="AO65" s="36"/>
      <c r="AP65" s="36"/>
      <c r="AQ65" s="36"/>
      <c r="AR65" s="36"/>
      <c r="AS65" s="36"/>
      <c r="AT65" s="36"/>
      <c r="AU65" s="36"/>
      <c r="AV65" s="36"/>
      <c r="AW65" s="36"/>
      <c r="AX65" s="36"/>
      <c r="AY65" s="36"/>
      <c r="AZ65" s="36"/>
      <c r="BA65" s="36"/>
      <c r="BB65" s="36"/>
      <c r="BC65" s="36"/>
      <c r="BD65" s="36"/>
      <c r="BE65" s="36"/>
    </row>
    <row r="66" spans="2:57" s="30" customFormat="1" ht="15" x14ac:dyDescent="0.2">
      <c r="B66" s="151" t="s">
        <v>413</v>
      </c>
      <c r="C66" s="33"/>
      <c r="D66" s="81"/>
      <c r="G66" s="33"/>
      <c r="H66" s="81"/>
      <c r="J66" s="32"/>
      <c r="K66" s="37" t="s">
        <v>297</v>
      </c>
      <c r="L66" s="37" t="s">
        <v>185</v>
      </c>
      <c r="M66" s="81"/>
      <c r="N66" s="81"/>
      <c r="O66" s="96"/>
      <c r="P66" s="33"/>
      <c r="Q66" s="34"/>
      <c r="R66" s="59" t="s">
        <v>318</v>
      </c>
      <c r="S66" s="35"/>
      <c r="T66" s="35" t="s">
        <v>400</v>
      </c>
      <c r="U66" s="35" t="s">
        <v>399</v>
      </c>
      <c r="V66" s="43" t="s">
        <v>397</v>
      </c>
      <c r="W66" s="35" t="s">
        <v>398</v>
      </c>
      <c r="X66" s="43" t="s">
        <v>401</v>
      </c>
      <c r="Y66" s="43" t="s">
        <v>403</v>
      </c>
      <c r="Z66" s="43" t="s">
        <v>402</v>
      </c>
      <c r="AA66" s="43" t="s">
        <v>186</v>
      </c>
      <c r="AB66" s="43" t="s">
        <v>345</v>
      </c>
      <c r="AC66" s="43" t="s">
        <v>404</v>
      </c>
      <c r="AD66" s="43" t="s">
        <v>346</v>
      </c>
      <c r="AE66" s="43" t="s">
        <v>405</v>
      </c>
      <c r="AF66" s="43" t="s">
        <v>406</v>
      </c>
      <c r="AG66" s="43" t="s">
        <v>578</v>
      </c>
      <c r="AH66" s="35" t="s">
        <v>190</v>
      </c>
      <c r="AI66" s="35" t="s">
        <v>249</v>
      </c>
      <c r="AJ66" s="35" t="s">
        <v>191</v>
      </c>
      <c r="AK66" s="104"/>
      <c r="AL66" s="35"/>
      <c r="AM66" s="35"/>
      <c r="AN66" s="36"/>
      <c r="AO66" s="36"/>
      <c r="AP66" s="36"/>
      <c r="AQ66" s="36"/>
      <c r="AR66" s="36"/>
      <c r="AS66" s="36"/>
      <c r="AT66" s="36"/>
      <c r="AU66" s="36"/>
      <c r="AV66" s="36"/>
      <c r="AW66" s="36"/>
      <c r="AX66" s="36"/>
      <c r="AY66" s="36"/>
      <c r="AZ66" s="36"/>
      <c r="BA66" s="36"/>
      <c r="BB66" s="36"/>
      <c r="BC66" s="36"/>
      <c r="BD66" s="36"/>
      <c r="BE66" s="36"/>
    </row>
    <row r="67" spans="2:57" s="30" customFormat="1" ht="30" x14ac:dyDescent="0.2">
      <c r="B67" s="166" t="s">
        <v>464</v>
      </c>
      <c r="C67" s="385"/>
      <c r="D67" s="86" t="s">
        <v>163</v>
      </c>
      <c r="E67" s="172"/>
      <c r="F67" s="55"/>
      <c r="G67" s="157"/>
      <c r="H67" s="81" t="str">
        <f>IF(D67="t","t/t","t/m3")</f>
        <v>t/m3</v>
      </c>
      <c r="J67" s="169" t="s">
        <v>395</v>
      </c>
      <c r="K67" s="92" t="str">
        <f>IFERROR(IF(ISNUMBER(L67),L67,(VLOOKUP(C68,Kalusto!$C$45:$G$84,5,FALSE)*VLOOKUP(C69,Muut!$D$40:$E$43,2,FALSE))),"--")</f>
        <v>--</v>
      </c>
      <c r="L67" s="39"/>
      <c r="M67" s="40" t="s">
        <v>184</v>
      </c>
      <c r="N67" s="40"/>
      <c r="O67" s="259"/>
      <c r="Q67" s="45"/>
      <c r="R67" s="48" t="str">
        <f>IF(AND(NOT(ISNUMBER(AB67)),NOT(ISNUMBER(AG67))),"",IF(ISNUMBER(AB67),AB67,0)+IF(ISNUMBER(AG67),AG67,0))</f>
        <v/>
      </c>
      <c r="S67" s="98" t="s">
        <v>160</v>
      </c>
      <c r="T67" s="46" t="str">
        <f>IFERROR(IF(ISNUMBER(L67),"Kohdetieto",VLOOKUP(C68,Kalusto!$C$45:$L$84,7,FALSE)),"--")</f>
        <v>--</v>
      </c>
      <c r="U67" s="46" t="str">
        <f>IFERROR(IF(ISNUMBER(L67),"Kohdetieto",VLOOKUP(C68,Kalusto!$C$45:$L$84,8,FALSE)),"--")</f>
        <v>--</v>
      </c>
      <c r="V67" s="47" t="str">
        <f>IFERROR(IF(ISNUMBER(L67),"Kohdetieto",VLOOKUP(C68,Kalusto!$C$45:$L$84,9,FALSE)),"--")</f>
        <v>--</v>
      </c>
      <c r="W67" s="47" t="str">
        <f>IFERROR(IF(ISNUMBER(L67),"Kohdetieto",VLOOKUP(C68,Kalusto!$C$45:$L$84,10,FALSE)),"--")</f>
        <v>--</v>
      </c>
      <c r="X67" s="48" t="str">
        <f>IF(ISBLANK(C67),"",IF(D67="t",C67,C67*G67))</f>
        <v/>
      </c>
      <c r="Y67" s="46" t="str">
        <f>IF(ISNUMBER(C70),C70,"")</f>
        <v/>
      </c>
      <c r="Z67" s="48" t="str">
        <f>IF(ISNUMBER(X67/(U67*V67)*Y67),X67/(U67*V67)*Y67,"")</f>
        <v/>
      </c>
      <c r="AA67" s="49" t="str">
        <f>IF(ISNUMBER(L67),L67,K67)</f>
        <v>--</v>
      </c>
      <c r="AB67" s="48" t="str">
        <f>IF(ISNUMBER(Y67*X67*K67),Y67*X67*K67,"")</f>
        <v/>
      </c>
      <c r="AC67" s="48" t="str">
        <f>IF(C82="Kyllä",Y67,"")</f>
        <v/>
      </c>
      <c r="AD67" s="48" t="str">
        <f>IF(C82="Kyllä",IF(ISNUMBER(X67/(U67*V67)),X67/(U67*V67),""),"")</f>
        <v/>
      </c>
      <c r="AE67" s="48" t="str">
        <f>IF(ISNUMBER(AD67*AC67),AD67*AC67,"")</f>
        <v/>
      </c>
      <c r="AF67" s="49" t="str">
        <f>IF(ISNUMBER(L68),L68,K68)</f>
        <v>--</v>
      </c>
      <c r="AG67" s="48" t="str">
        <f>IF(ISNUMBER(AC67*AD67*K68),AC67*AD67*K68,"")</f>
        <v/>
      </c>
      <c r="AH67" s="46">
        <f>IF(T67="Jakelukuorma-auto",0,IF(T67="Maansiirtoauto",4,IF(T67="Puoliperävaunu",6,8)))</f>
        <v>8</v>
      </c>
      <c r="AI67" s="46">
        <f>IF(AND(T67="Jakelukuorma-auto",U67=6),0,IF(AND(T67="Jakelukuorma-auto",U67=15),2,0))</f>
        <v>0</v>
      </c>
      <c r="AJ67" s="46">
        <f>IF(W67="maantieajo",0,1)</f>
        <v>1</v>
      </c>
      <c r="AK67" s="104"/>
      <c r="AL67" s="35"/>
      <c r="AM67" s="35"/>
      <c r="AN67" s="36"/>
      <c r="AO67" s="36"/>
      <c r="AP67" s="36"/>
      <c r="AQ67" s="36"/>
      <c r="AR67" s="36"/>
      <c r="AS67" s="36"/>
      <c r="AT67" s="36"/>
      <c r="AU67" s="36"/>
      <c r="AV67" s="36"/>
      <c r="AW67" s="36"/>
      <c r="AX67" s="36"/>
      <c r="AY67" s="36"/>
      <c r="AZ67" s="36"/>
      <c r="BA67" s="36"/>
      <c r="BB67" s="36"/>
      <c r="BC67" s="36"/>
      <c r="BD67" s="36"/>
      <c r="BE67" s="36"/>
    </row>
    <row r="68" spans="2:57" s="30" customFormat="1" ht="30" x14ac:dyDescent="0.2">
      <c r="B68" s="166" t="s">
        <v>463</v>
      </c>
      <c r="C68" s="471" t="s">
        <v>298</v>
      </c>
      <c r="D68" s="472"/>
      <c r="E68" s="472"/>
      <c r="F68" s="472"/>
      <c r="G68" s="473"/>
      <c r="H68" s="81"/>
      <c r="J68" s="32" t="s">
        <v>396</v>
      </c>
      <c r="K68" s="92" t="str">
        <f>IFERROR(IF(ISNUMBER(L68),L68,IF($C$82="Ei","",(VLOOKUP(C68,Kalusto!$C$45:$V$84,19,FALSE)*(VLOOKUP(C69,Muut!$D$40:$E$43,2,FALSE))))),"--")</f>
        <v>--</v>
      </c>
      <c r="L68" s="39"/>
      <c r="M68" s="40" t="s">
        <v>188</v>
      </c>
      <c r="N68" s="40"/>
      <c r="O68" s="259"/>
      <c r="P68" s="33"/>
      <c r="Q68" s="50"/>
      <c r="R68" s="35"/>
      <c r="S68" s="35"/>
      <c r="T68" s="35"/>
      <c r="U68" s="35"/>
      <c r="V68" s="35"/>
      <c r="W68" s="35"/>
      <c r="X68" s="35"/>
      <c r="Y68" s="35"/>
      <c r="Z68" s="35"/>
      <c r="AA68" s="35"/>
      <c r="AB68" s="35"/>
      <c r="AC68" s="35"/>
      <c r="AD68" s="35"/>
      <c r="AE68" s="35"/>
      <c r="AF68" s="35"/>
      <c r="AG68" s="35"/>
      <c r="AH68" s="35"/>
      <c r="AI68" s="35"/>
      <c r="AJ68" s="35"/>
      <c r="AK68" s="104"/>
      <c r="AL68" s="35"/>
      <c r="AM68" s="35"/>
      <c r="AN68" s="36"/>
      <c r="AO68" s="36"/>
      <c r="AP68" s="36"/>
      <c r="AQ68" s="36"/>
      <c r="AR68" s="36"/>
      <c r="AS68" s="36"/>
      <c r="AT68" s="36"/>
      <c r="AU68" s="36"/>
      <c r="AV68" s="36"/>
      <c r="AW68" s="36"/>
      <c r="AX68" s="36"/>
      <c r="AY68" s="36"/>
      <c r="AZ68" s="36"/>
      <c r="BA68" s="36"/>
      <c r="BB68" s="36"/>
      <c r="BC68" s="36"/>
      <c r="BD68" s="36"/>
      <c r="BE68" s="36"/>
    </row>
    <row r="69" spans="2:57" s="30" customFormat="1" ht="15" x14ac:dyDescent="0.2">
      <c r="B69" s="182" t="s">
        <v>457</v>
      </c>
      <c r="C69" s="156" t="s">
        <v>309</v>
      </c>
      <c r="D69" s="33"/>
      <c r="E69" s="33"/>
      <c r="F69" s="33"/>
      <c r="G69" s="33"/>
      <c r="H69" s="57"/>
      <c r="J69" s="169"/>
      <c r="K69" s="169"/>
      <c r="L69" s="169"/>
      <c r="M69" s="40"/>
      <c r="N69" s="40"/>
      <c r="O69" s="259"/>
      <c r="Q69" s="45"/>
      <c r="R69" s="98"/>
      <c r="S69" s="98"/>
      <c r="T69" s="35"/>
      <c r="U69" s="35"/>
      <c r="V69" s="177"/>
      <c r="W69" s="177"/>
      <c r="X69" s="59"/>
      <c r="Y69" s="35"/>
      <c r="Z69" s="59"/>
      <c r="AA69" s="178"/>
      <c r="AB69" s="59"/>
      <c r="AC69" s="59"/>
      <c r="AD69" s="59"/>
      <c r="AE69" s="59"/>
      <c r="AF69" s="178"/>
      <c r="AG69" s="59"/>
      <c r="AH69" s="35"/>
      <c r="AI69" s="35"/>
      <c r="AJ69" s="35"/>
      <c r="AK69" s="104"/>
      <c r="AL69" s="35"/>
      <c r="AM69" s="35"/>
      <c r="AN69" s="36"/>
      <c r="AO69" s="36"/>
      <c r="AP69" s="36"/>
      <c r="AQ69" s="36"/>
      <c r="AR69" s="36"/>
      <c r="AS69" s="36"/>
      <c r="AT69" s="36"/>
      <c r="AU69" s="36"/>
      <c r="AV69" s="36"/>
      <c r="AW69" s="36"/>
      <c r="AX69" s="36"/>
      <c r="AY69" s="36"/>
      <c r="AZ69" s="36"/>
      <c r="BA69" s="36"/>
      <c r="BB69" s="36"/>
      <c r="BC69" s="36"/>
      <c r="BD69" s="36"/>
      <c r="BE69" s="36"/>
    </row>
    <row r="70" spans="2:57" s="30" customFormat="1" ht="15" x14ac:dyDescent="0.2">
      <c r="B70" s="44" t="s">
        <v>465</v>
      </c>
      <c r="C70" s="386"/>
      <c r="D70" s="81" t="s">
        <v>5</v>
      </c>
      <c r="G70" s="33"/>
      <c r="H70" s="81"/>
      <c r="J70" s="51"/>
      <c r="K70" s="33"/>
      <c r="L70" s="33"/>
      <c r="M70" s="81"/>
      <c r="N70" s="81"/>
      <c r="O70" s="96"/>
      <c r="P70" s="51"/>
      <c r="Q70" s="50"/>
      <c r="R70" s="35"/>
      <c r="S70" s="35"/>
      <c r="T70" s="35"/>
      <c r="U70" s="35"/>
      <c r="V70" s="35"/>
      <c r="W70" s="35"/>
      <c r="X70" s="35"/>
      <c r="Y70" s="35"/>
      <c r="Z70" s="35"/>
      <c r="AA70" s="35"/>
      <c r="AB70" s="35"/>
      <c r="AC70" s="35"/>
      <c r="AD70" s="35"/>
      <c r="AE70" s="35"/>
      <c r="AF70" s="35"/>
      <c r="AG70" s="35"/>
      <c r="AH70" s="35"/>
      <c r="AI70" s="35"/>
      <c r="AJ70" s="35"/>
      <c r="AK70" s="104"/>
      <c r="AL70" s="35"/>
      <c r="AM70" s="35"/>
      <c r="AN70" s="36"/>
      <c r="AO70" s="36"/>
      <c r="AP70" s="36"/>
      <c r="AQ70" s="36"/>
      <c r="AR70" s="36"/>
      <c r="AS70" s="36"/>
      <c r="AT70" s="36"/>
      <c r="AU70" s="36"/>
      <c r="AV70" s="36"/>
      <c r="AW70" s="36"/>
      <c r="AX70" s="36"/>
      <c r="AY70" s="36"/>
      <c r="AZ70" s="36"/>
      <c r="BA70" s="36"/>
      <c r="BB70" s="36"/>
      <c r="BC70" s="36"/>
      <c r="BD70" s="36"/>
      <c r="BE70" s="36"/>
    </row>
    <row r="71" spans="2:57" s="30" customFormat="1" ht="15" x14ac:dyDescent="0.2">
      <c r="B71" s="151" t="s">
        <v>414</v>
      </c>
      <c r="C71" s="33"/>
      <c r="D71" s="81"/>
      <c r="G71" s="33"/>
      <c r="H71" s="81"/>
      <c r="J71" s="32"/>
      <c r="K71" s="37" t="s">
        <v>297</v>
      </c>
      <c r="L71" s="37" t="s">
        <v>185</v>
      </c>
      <c r="M71" s="81"/>
      <c r="N71" s="81"/>
      <c r="O71" s="96"/>
      <c r="P71" s="33"/>
      <c r="Q71" s="34"/>
      <c r="R71" s="59" t="s">
        <v>318</v>
      </c>
      <c r="S71" s="35"/>
      <c r="T71" s="35" t="s">
        <v>400</v>
      </c>
      <c r="U71" s="35" t="s">
        <v>399</v>
      </c>
      <c r="V71" s="43" t="s">
        <v>397</v>
      </c>
      <c r="W71" s="35" t="s">
        <v>398</v>
      </c>
      <c r="X71" s="43" t="s">
        <v>401</v>
      </c>
      <c r="Y71" s="43" t="s">
        <v>403</v>
      </c>
      <c r="Z71" s="43" t="s">
        <v>402</v>
      </c>
      <c r="AA71" s="43" t="s">
        <v>186</v>
      </c>
      <c r="AB71" s="43" t="s">
        <v>345</v>
      </c>
      <c r="AC71" s="43" t="s">
        <v>404</v>
      </c>
      <c r="AD71" s="43" t="s">
        <v>346</v>
      </c>
      <c r="AE71" s="43" t="s">
        <v>405</v>
      </c>
      <c r="AF71" s="43" t="s">
        <v>406</v>
      </c>
      <c r="AG71" s="43" t="s">
        <v>578</v>
      </c>
      <c r="AH71" s="35" t="s">
        <v>190</v>
      </c>
      <c r="AI71" s="35" t="s">
        <v>249</v>
      </c>
      <c r="AJ71" s="35" t="s">
        <v>191</v>
      </c>
      <c r="AK71" s="104"/>
      <c r="AL71" s="35"/>
      <c r="AM71" s="35"/>
      <c r="AN71" s="36"/>
      <c r="AO71" s="36"/>
      <c r="AP71" s="36"/>
      <c r="AQ71" s="36"/>
      <c r="AR71" s="36"/>
      <c r="AS71" s="36"/>
      <c r="AT71" s="36"/>
      <c r="AU71" s="36"/>
      <c r="AV71" s="36"/>
      <c r="AW71" s="36"/>
      <c r="AX71" s="36"/>
      <c r="AY71" s="36"/>
      <c r="AZ71" s="36"/>
      <c r="BA71" s="36"/>
      <c r="BB71" s="36"/>
      <c r="BC71" s="36"/>
      <c r="BD71" s="36"/>
      <c r="BE71" s="36"/>
    </row>
    <row r="72" spans="2:57" s="30" customFormat="1" ht="30" x14ac:dyDescent="0.2">
      <c r="B72" s="166" t="s">
        <v>464</v>
      </c>
      <c r="C72" s="385"/>
      <c r="D72" s="86" t="s">
        <v>163</v>
      </c>
      <c r="E72" s="33"/>
      <c r="F72" s="55"/>
      <c r="G72" s="157"/>
      <c r="H72" s="81" t="str">
        <f>IF(D72="t","t/t","t/m3")</f>
        <v>t/m3</v>
      </c>
      <c r="J72" s="169" t="s">
        <v>395</v>
      </c>
      <c r="K72" s="92" t="str">
        <f>IFERROR(IF(ISNUMBER(L72),L72,(VLOOKUP(C73,Kalusto!$C$45:$G$84,5,FALSE)*VLOOKUP(C74,Muut!$D$40:$E$43,2,FALSE))),"--")</f>
        <v>--</v>
      </c>
      <c r="L72" s="39"/>
      <c r="M72" s="40" t="s">
        <v>184</v>
      </c>
      <c r="N72" s="40"/>
      <c r="O72" s="259"/>
      <c r="Q72" s="45"/>
      <c r="R72" s="48" t="str">
        <f>IF(AND(NOT(ISNUMBER(AB72)),NOT(ISNUMBER(AG72))),"",IF(ISNUMBER(AB72),AB72,0)+IF(ISNUMBER(AG72),AG72,0))</f>
        <v/>
      </c>
      <c r="S72" s="98" t="s">
        <v>160</v>
      </c>
      <c r="T72" s="46" t="str">
        <f>IFERROR(IF(ISNUMBER(L72),"Kohdetieto",VLOOKUP(C73,Kalusto!$C$45:$L$84,7,FALSE)),"--")</f>
        <v>--</v>
      </c>
      <c r="U72" s="46" t="str">
        <f>IFERROR(IF(ISNUMBER(L72),"Kohdetieto",VLOOKUP(C73,Kalusto!$C$45:$L$84,8,FALSE)),"--")</f>
        <v>--</v>
      </c>
      <c r="V72" s="47" t="str">
        <f>IFERROR(IF(ISNUMBER(L72),"Kohdetieto",VLOOKUP(C73,Kalusto!$C$45:$L$84,9,FALSE)),"--")</f>
        <v>--</v>
      </c>
      <c r="W72" s="47" t="str">
        <f>IFERROR(IF(ISNUMBER(L72),"Kohdetieto",VLOOKUP(C73,Kalusto!$C$45:$L$84,10,FALSE)),"--")</f>
        <v>--</v>
      </c>
      <c r="X72" s="48" t="str">
        <f>IF(ISBLANK(C72),"",IF(D72="t",C72,C72*G72))</f>
        <v/>
      </c>
      <c r="Y72" s="46" t="str">
        <f>IF(ISNUMBER(C75),C75,"")</f>
        <v/>
      </c>
      <c r="Z72" s="48" t="str">
        <f>IF(ISNUMBER(X72/(U72*V72)*Y72),X72/(U72*V72)*Y72,"")</f>
        <v/>
      </c>
      <c r="AA72" s="49" t="str">
        <f>IF(ISNUMBER(L72),L72,K72)</f>
        <v>--</v>
      </c>
      <c r="AB72" s="48" t="str">
        <f>IF(ISNUMBER(Y72*X72*K72),Y72*X72*K72,"")</f>
        <v/>
      </c>
      <c r="AC72" s="48" t="str">
        <f>IF(C82="Kyllä",Y72,"")</f>
        <v/>
      </c>
      <c r="AD72" s="48" t="str">
        <f>IF(C82="Kyllä",IF(ISNUMBER(X72/(U72*V72)),X72/(U72*V72),""),"")</f>
        <v/>
      </c>
      <c r="AE72" s="48" t="str">
        <f>IF(ISNUMBER(AD72*AC72),AD72*AC72,"")</f>
        <v/>
      </c>
      <c r="AF72" s="49" t="str">
        <f>IF(ISNUMBER(L73),L73,K73)</f>
        <v>--</v>
      </c>
      <c r="AG72" s="48" t="str">
        <f>IF(ISNUMBER(AC72*AD72*K73),AC72*AD72*K73,"")</f>
        <v/>
      </c>
      <c r="AH72" s="46">
        <f>IF(T72="Jakelukuorma-auto",0,IF(T72="Maansiirtoauto",4,IF(T72="Puoliperävaunu",6,8)))</f>
        <v>8</v>
      </c>
      <c r="AI72" s="46">
        <f>IF(AND(T72="Jakelukuorma-auto",U72=6),0,IF(AND(T72="Jakelukuorma-auto",U72=15),2,0))</f>
        <v>0</v>
      </c>
      <c r="AJ72" s="46">
        <f>IF(W72="maantieajo",0,1)</f>
        <v>1</v>
      </c>
      <c r="AK72" s="104"/>
      <c r="AL72" s="35"/>
      <c r="AM72" s="35"/>
      <c r="AN72" s="36"/>
      <c r="AO72" s="36"/>
      <c r="AP72" s="36"/>
      <c r="AQ72" s="36"/>
      <c r="AR72" s="36"/>
      <c r="AS72" s="36"/>
      <c r="AT72" s="36"/>
      <c r="AU72" s="36"/>
      <c r="AV72" s="36"/>
      <c r="AW72" s="36"/>
      <c r="AX72" s="36"/>
      <c r="AY72" s="36"/>
      <c r="AZ72" s="36"/>
      <c r="BA72" s="36"/>
      <c r="BB72" s="36"/>
      <c r="BC72" s="36"/>
      <c r="BD72" s="36"/>
      <c r="BE72" s="36"/>
    </row>
    <row r="73" spans="2:57" s="30" customFormat="1" ht="30" x14ac:dyDescent="0.2">
      <c r="B73" s="166" t="s">
        <v>463</v>
      </c>
      <c r="C73" s="471" t="s">
        <v>298</v>
      </c>
      <c r="D73" s="472"/>
      <c r="E73" s="472"/>
      <c r="F73" s="472"/>
      <c r="G73" s="473"/>
      <c r="H73" s="81"/>
      <c r="J73" s="32" t="s">
        <v>396</v>
      </c>
      <c r="K73" s="92" t="str">
        <f>IFERROR(IF(ISNUMBER(L73),L73,IF($C$82="Ei","",(VLOOKUP(C73,Kalusto!$C$45:$V$84,19,FALSE)*(VLOOKUP(C74,Muut!$D$40:$E$43,2,FALSE))))),"--")</f>
        <v>--</v>
      </c>
      <c r="L73" s="39"/>
      <c r="M73" s="40" t="s">
        <v>188</v>
      </c>
      <c r="N73" s="40"/>
      <c r="O73" s="259"/>
      <c r="P73" s="33"/>
      <c r="Q73" s="50"/>
      <c r="R73" s="35"/>
      <c r="S73" s="35"/>
      <c r="T73" s="35"/>
      <c r="U73" s="35"/>
      <c r="V73" s="35"/>
      <c r="W73" s="35"/>
      <c r="X73" s="35"/>
      <c r="Y73" s="35"/>
      <c r="Z73" s="35"/>
      <c r="AA73" s="35"/>
      <c r="AB73" s="35"/>
      <c r="AC73" s="35"/>
      <c r="AD73" s="35"/>
      <c r="AE73" s="35"/>
      <c r="AF73" s="35"/>
      <c r="AG73" s="35"/>
      <c r="AH73" s="35"/>
      <c r="AI73" s="35"/>
      <c r="AJ73" s="35"/>
      <c r="AK73" s="104"/>
      <c r="AL73" s="35"/>
      <c r="AM73" s="35"/>
      <c r="AN73" s="36"/>
      <c r="AO73" s="36"/>
      <c r="AP73" s="36"/>
      <c r="AQ73" s="36"/>
      <c r="AR73" s="36"/>
      <c r="AS73" s="36"/>
      <c r="AT73" s="36"/>
      <c r="AU73" s="36"/>
      <c r="AV73" s="36"/>
      <c r="AW73" s="36"/>
      <c r="AX73" s="36"/>
      <c r="AY73" s="36"/>
      <c r="AZ73" s="36"/>
      <c r="BA73" s="36"/>
      <c r="BB73" s="36"/>
      <c r="BC73" s="36"/>
      <c r="BD73" s="36"/>
      <c r="BE73" s="36"/>
    </row>
    <row r="74" spans="2:57" s="30" customFormat="1" ht="15" x14ac:dyDescent="0.2">
      <c r="B74" s="182" t="s">
        <v>457</v>
      </c>
      <c r="C74" s="156" t="s">
        <v>309</v>
      </c>
      <c r="D74" s="33"/>
      <c r="E74" s="33"/>
      <c r="F74" s="33"/>
      <c r="G74" s="33"/>
      <c r="H74" s="57"/>
      <c r="J74" s="169"/>
      <c r="K74" s="169"/>
      <c r="L74" s="169"/>
      <c r="M74" s="40"/>
      <c r="N74" s="40"/>
      <c r="O74" s="259"/>
      <c r="Q74" s="45"/>
      <c r="R74" s="98"/>
      <c r="S74" s="98"/>
      <c r="T74" s="35"/>
      <c r="U74" s="35"/>
      <c r="V74" s="177"/>
      <c r="W74" s="177"/>
      <c r="X74" s="59"/>
      <c r="Y74" s="35"/>
      <c r="Z74" s="59"/>
      <c r="AA74" s="178"/>
      <c r="AB74" s="59"/>
      <c r="AC74" s="59"/>
      <c r="AD74" s="59"/>
      <c r="AE74" s="59"/>
      <c r="AF74" s="178"/>
      <c r="AG74" s="59"/>
      <c r="AH74" s="35"/>
      <c r="AI74" s="35"/>
      <c r="AJ74" s="35"/>
      <c r="AK74" s="104"/>
      <c r="AL74" s="35"/>
      <c r="AM74" s="35"/>
      <c r="AN74" s="36"/>
      <c r="AO74" s="36"/>
      <c r="AP74" s="36"/>
      <c r="AQ74" s="36"/>
      <c r="AR74" s="36"/>
      <c r="AS74" s="36"/>
      <c r="AT74" s="36"/>
      <c r="AU74" s="36"/>
      <c r="AV74" s="36"/>
      <c r="AW74" s="36"/>
      <c r="AX74" s="36"/>
      <c r="AY74" s="36"/>
      <c r="AZ74" s="36"/>
      <c r="BA74" s="36"/>
      <c r="BB74" s="36"/>
      <c r="BC74" s="36"/>
      <c r="BD74" s="36"/>
      <c r="BE74" s="36"/>
    </row>
    <row r="75" spans="2:57" s="30" customFormat="1" ht="15" x14ac:dyDescent="0.2">
      <c r="B75" s="44" t="s">
        <v>465</v>
      </c>
      <c r="C75" s="386"/>
      <c r="D75" s="87" t="s">
        <v>164</v>
      </c>
      <c r="E75" s="56"/>
      <c r="F75" s="56"/>
      <c r="G75" s="33"/>
      <c r="H75" s="81"/>
      <c r="J75" s="51"/>
      <c r="K75" s="33"/>
      <c r="L75" s="33"/>
      <c r="M75" s="81"/>
      <c r="N75" s="81"/>
      <c r="O75" s="96"/>
      <c r="P75" s="51"/>
      <c r="Q75" s="50"/>
      <c r="R75" s="35"/>
      <c r="S75" s="35"/>
      <c r="T75" s="35"/>
      <c r="U75" s="35"/>
      <c r="V75" s="35"/>
      <c r="W75" s="35"/>
      <c r="X75" s="35"/>
      <c r="Y75" s="35"/>
      <c r="Z75" s="35"/>
      <c r="AA75" s="35"/>
      <c r="AB75" s="35"/>
      <c r="AC75" s="35"/>
      <c r="AD75" s="35"/>
      <c r="AE75" s="35"/>
      <c r="AF75" s="35"/>
      <c r="AG75" s="35"/>
      <c r="AH75" s="35"/>
      <c r="AI75" s="35"/>
      <c r="AJ75" s="35"/>
      <c r="AK75" s="104"/>
      <c r="AL75" s="35"/>
      <c r="AM75" s="35"/>
      <c r="AN75" s="36"/>
      <c r="AO75" s="36"/>
      <c r="AP75" s="36"/>
      <c r="AQ75" s="36"/>
      <c r="AR75" s="36"/>
      <c r="AS75" s="36"/>
      <c r="AT75" s="36"/>
      <c r="AU75" s="36"/>
      <c r="AV75" s="36"/>
      <c r="AW75" s="36"/>
      <c r="AX75" s="36"/>
      <c r="AY75" s="36"/>
      <c r="AZ75" s="36"/>
      <c r="BA75" s="36"/>
      <c r="BB75" s="36"/>
      <c r="BC75" s="36"/>
      <c r="BD75" s="36"/>
      <c r="BE75" s="36"/>
    </row>
    <row r="76" spans="2:57" s="30" customFormat="1" ht="15" x14ac:dyDescent="0.2">
      <c r="B76" s="151" t="s">
        <v>302</v>
      </c>
      <c r="C76" s="33"/>
      <c r="D76" s="81"/>
      <c r="G76" s="33"/>
      <c r="H76" s="81"/>
      <c r="J76" s="32"/>
      <c r="K76" s="37" t="s">
        <v>297</v>
      </c>
      <c r="L76" s="37" t="s">
        <v>185</v>
      </c>
      <c r="M76" s="81"/>
      <c r="N76" s="81"/>
      <c r="O76" s="96"/>
      <c r="P76" s="33"/>
      <c r="Q76" s="34"/>
      <c r="R76" s="59" t="s">
        <v>318</v>
      </c>
      <c r="S76" s="35"/>
      <c r="T76" s="35" t="s">
        <v>400</v>
      </c>
      <c r="U76" s="35" t="s">
        <v>399</v>
      </c>
      <c r="V76" s="43" t="s">
        <v>397</v>
      </c>
      <c r="W76" s="35" t="s">
        <v>398</v>
      </c>
      <c r="X76" s="43" t="s">
        <v>401</v>
      </c>
      <c r="Y76" s="43" t="s">
        <v>403</v>
      </c>
      <c r="Z76" s="43" t="s">
        <v>402</v>
      </c>
      <c r="AA76" s="43" t="s">
        <v>186</v>
      </c>
      <c r="AB76" s="43" t="s">
        <v>345</v>
      </c>
      <c r="AC76" s="43" t="s">
        <v>404</v>
      </c>
      <c r="AD76" s="43" t="s">
        <v>346</v>
      </c>
      <c r="AE76" s="43" t="s">
        <v>405</v>
      </c>
      <c r="AF76" s="43" t="s">
        <v>406</v>
      </c>
      <c r="AG76" s="43" t="s">
        <v>578</v>
      </c>
      <c r="AH76" s="35" t="s">
        <v>190</v>
      </c>
      <c r="AI76" s="35" t="s">
        <v>249</v>
      </c>
      <c r="AJ76" s="35" t="s">
        <v>191</v>
      </c>
      <c r="AK76" s="104"/>
      <c r="AL76" s="35"/>
      <c r="AM76" s="35"/>
      <c r="AN76" s="36"/>
      <c r="AO76" s="36"/>
      <c r="AP76" s="36"/>
      <c r="AQ76" s="36"/>
      <c r="AR76" s="36"/>
      <c r="AS76" s="36"/>
      <c r="AT76" s="36"/>
      <c r="AU76" s="36"/>
      <c r="AV76" s="36"/>
      <c r="AW76" s="36"/>
      <c r="AX76" s="36"/>
      <c r="AY76" s="36"/>
      <c r="AZ76" s="36"/>
      <c r="BA76" s="36"/>
      <c r="BB76" s="36"/>
      <c r="BC76" s="36"/>
      <c r="BD76" s="36"/>
      <c r="BE76" s="36"/>
    </row>
    <row r="77" spans="2:57" s="30" customFormat="1" ht="30" x14ac:dyDescent="0.2">
      <c r="B77" s="166" t="s">
        <v>464</v>
      </c>
      <c r="C77" s="385"/>
      <c r="D77" s="86" t="s">
        <v>163</v>
      </c>
      <c r="E77" s="33"/>
      <c r="F77" s="55"/>
      <c r="G77" s="157"/>
      <c r="H77" s="81" t="str">
        <f>IF(D77="t","t/t","t/m3")</f>
        <v>t/m3</v>
      </c>
      <c r="J77" s="169" t="s">
        <v>395</v>
      </c>
      <c r="K77" s="92" t="str">
        <f>IFERROR(IF(ISNUMBER(L77),L77,(VLOOKUP(C78,Kalusto!$C$45:$G$84,5,FALSE)*VLOOKUP(C79,Muut!$D$40:$E$43,2,FALSE))),"--")</f>
        <v>--</v>
      </c>
      <c r="L77" s="39"/>
      <c r="M77" s="40" t="s">
        <v>184</v>
      </c>
      <c r="N77" s="40"/>
      <c r="O77" s="259"/>
      <c r="Q77" s="45"/>
      <c r="R77" s="48" t="str">
        <f>IF(AND(NOT(ISNUMBER(AB77)),NOT(ISNUMBER(AG77))),"",IF(ISNUMBER(AB77),AB77,0)+IF(ISNUMBER(AG77),AG77,0))</f>
        <v/>
      </c>
      <c r="S77" s="98" t="s">
        <v>160</v>
      </c>
      <c r="T77" s="46" t="str">
        <f>IFERROR(IF(ISNUMBER(L77),"Kohdetieto",VLOOKUP(C78,Kalusto!$C$45:$L$84,7,FALSE)),"--")</f>
        <v>--</v>
      </c>
      <c r="U77" s="46" t="str">
        <f>IFERROR(IF(ISNUMBER(L77),"Kohdetieto",VLOOKUP(C78,Kalusto!$C$45:$L$84,8,FALSE)),"--")</f>
        <v>--</v>
      </c>
      <c r="V77" s="47" t="str">
        <f>IFERROR(IF(ISNUMBER(L77),"Kohdetieto",VLOOKUP(C78,Kalusto!$C$45:$L$84,9,FALSE)),"--")</f>
        <v>--</v>
      </c>
      <c r="W77" s="47" t="str">
        <f>IFERROR(IF(ISNUMBER(L77),"Kohdetieto",VLOOKUP(C78,Kalusto!$C$45:$L$84,10,FALSE)),"--")</f>
        <v>--</v>
      </c>
      <c r="X77" s="48" t="str">
        <f>IF(ISBLANK(C77),"",IF(D77="t",C77,C77*G77))</f>
        <v/>
      </c>
      <c r="Y77" s="46" t="str">
        <f>IF(ISNUMBER(C80),C80,"")</f>
        <v/>
      </c>
      <c r="Z77" s="48" t="str">
        <f>IF(ISNUMBER(X77/(U77*V77)*Y77),X77/(U77*V77)*Y77,"")</f>
        <v/>
      </c>
      <c r="AA77" s="49" t="str">
        <f>IF(ISNUMBER(L77),L77,K77)</f>
        <v>--</v>
      </c>
      <c r="AB77" s="48" t="str">
        <f>IF(ISNUMBER(Y77*X77*K77),Y77*X77*K77,"")</f>
        <v/>
      </c>
      <c r="AC77" s="48" t="str">
        <f>IF(C82="Kyllä",Y77,"")</f>
        <v/>
      </c>
      <c r="AD77" s="48" t="str">
        <f>IF(C82="Kyllä",IF(ISNUMBER(X77/(U77*V77)),X77/(U77*V77),""),"")</f>
        <v/>
      </c>
      <c r="AE77" s="48" t="str">
        <f>IF(ISNUMBER(AD77*AC77),AD77*AC77,"")</f>
        <v/>
      </c>
      <c r="AF77" s="49" t="str">
        <f>IF(ISNUMBER(L78),L78,K78)</f>
        <v>--</v>
      </c>
      <c r="AG77" s="48" t="str">
        <f>IF(ISNUMBER(AC77*AD77*K78),AC77*AD77*K78,"")</f>
        <v/>
      </c>
      <c r="AH77" s="46">
        <f>IF(T77="Jakelukuorma-auto",0,IF(T77="Maansiirtoauto",4,IF(T77="Puoliperävaunu",6,8)))</f>
        <v>8</v>
      </c>
      <c r="AI77" s="46">
        <f>IF(AND(T77="Jakelukuorma-auto",U77=6),0,IF(AND(T77="Jakelukuorma-auto",U77=15),2,0))</f>
        <v>0</v>
      </c>
      <c r="AJ77" s="46">
        <f>IF(W77="maantieajo",0,1)</f>
        <v>1</v>
      </c>
      <c r="AK77" s="104"/>
      <c r="AL77" s="35"/>
      <c r="AM77" s="35"/>
      <c r="AN77" s="36"/>
      <c r="AO77" s="36"/>
      <c r="AP77" s="36"/>
      <c r="AQ77" s="36"/>
      <c r="AR77" s="36"/>
      <c r="AS77" s="36"/>
      <c r="AT77" s="36"/>
      <c r="AU77" s="36"/>
      <c r="AV77" s="36"/>
      <c r="AW77" s="36"/>
      <c r="AX77" s="36"/>
      <c r="AY77" s="36"/>
      <c r="AZ77" s="36"/>
      <c r="BA77" s="36"/>
      <c r="BB77" s="36"/>
      <c r="BC77" s="36"/>
      <c r="BD77" s="36"/>
      <c r="BE77" s="36"/>
    </row>
    <row r="78" spans="2:57" s="30" customFormat="1" ht="30" x14ac:dyDescent="0.2">
      <c r="B78" s="166" t="s">
        <v>463</v>
      </c>
      <c r="C78" s="471" t="s">
        <v>298</v>
      </c>
      <c r="D78" s="472"/>
      <c r="E78" s="472"/>
      <c r="F78" s="472"/>
      <c r="G78" s="473"/>
      <c r="H78" s="81"/>
      <c r="J78" s="32" t="s">
        <v>396</v>
      </c>
      <c r="K78" s="92" t="str">
        <f>IFERROR(IF(ISNUMBER(L78),L78,IF($C$82="Ei","",(VLOOKUP(C78,Kalusto!$C$45:$V$84,19,FALSE)*(VLOOKUP(C79,Muut!$D$40:$E$43,2,FALSE))))),"--")</f>
        <v>--</v>
      </c>
      <c r="L78" s="39"/>
      <c r="M78" s="40" t="s">
        <v>188</v>
      </c>
      <c r="N78" s="40"/>
      <c r="O78" s="259"/>
      <c r="P78" s="33"/>
      <c r="Q78" s="50"/>
      <c r="R78" s="95"/>
      <c r="S78" s="35"/>
      <c r="T78" s="35"/>
      <c r="U78" s="35"/>
      <c r="V78" s="35"/>
      <c r="W78" s="35"/>
      <c r="X78" s="35"/>
      <c r="Y78" s="35"/>
      <c r="Z78" s="35"/>
      <c r="AA78" s="35"/>
      <c r="AB78" s="35"/>
      <c r="AC78" s="35"/>
      <c r="AD78" s="35"/>
      <c r="AE78" s="35"/>
      <c r="AF78" s="35"/>
      <c r="AG78" s="35"/>
      <c r="AH78" s="35"/>
      <c r="AI78" s="35"/>
      <c r="AJ78" s="35"/>
      <c r="AK78" s="35"/>
      <c r="AL78" s="35"/>
      <c r="AM78" s="35"/>
      <c r="AN78" s="36"/>
      <c r="AO78" s="36"/>
      <c r="AP78" s="36"/>
      <c r="AQ78" s="36"/>
      <c r="AR78" s="36"/>
      <c r="AS78" s="36"/>
      <c r="AT78" s="36"/>
      <c r="AU78" s="36"/>
      <c r="AV78" s="36"/>
      <c r="AW78" s="36"/>
      <c r="AX78" s="36"/>
      <c r="AY78" s="36"/>
      <c r="AZ78" s="36"/>
      <c r="BA78" s="36"/>
      <c r="BB78" s="36"/>
      <c r="BC78" s="36"/>
      <c r="BD78" s="36"/>
      <c r="BE78" s="36"/>
    </row>
    <row r="79" spans="2:57" s="30" customFormat="1" ht="15" x14ac:dyDescent="0.2">
      <c r="B79" s="182" t="s">
        <v>457</v>
      </c>
      <c r="C79" s="156" t="s">
        <v>309</v>
      </c>
      <c r="D79" s="33"/>
      <c r="E79" s="33"/>
      <c r="F79" s="33"/>
      <c r="G79" s="33"/>
      <c r="H79" s="57"/>
      <c r="J79" s="169"/>
      <c r="K79" s="169"/>
      <c r="L79" s="169"/>
      <c r="M79" s="40"/>
      <c r="N79" s="40"/>
      <c r="O79" s="259"/>
      <c r="Q79" s="45"/>
      <c r="R79" s="98"/>
      <c r="S79" s="98"/>
      <c r="T79" s="35"/>
      <c r="U79" s="35"/>
      <c r="V79" s="177"/>
      <c r="W79" s="177"/>
      <c r="X79" s="59"/>
      <c r="Y79" s="35"/>
      <c r="Z79" s="59"/>
      <c r="AA79" s="178"/>
      <c r="AB79" s="59"/>
      <c r="AC79" s="59"/>
      <c r="AD79" s="59"/>
      <c r="AE79" s="59"/>
      <c r="AF79" s="178"/>
      <c r="AG79" s="59"/>
      <c r="AH79" s="35"/>
      <c r="AI79" s="35"/>
      <c r="AJ79" s="35"/>
      <c r="AK79" s="104"/>
      <c r="AL79" s="35"/>
      <c r="AM79" s="35"/>
      <c r="AN79" s="36"/>
      <c r="AO79" s="36"/>
      <c r="AP79" s="36"/>
      <c r="AQ79" s="36"/>
      <c r="AR79" s="36"/>
      <c r="AS79" s="36"/>
      <c r="AT79" s="36"/>
      <c r="AU79" s="36"/>
      <c r="AV79" s="36"/>
      <c r="AW79" s="36"/>
      <c r="AX79" s="36"/>
      <c r="AY79" s="36"/>
      <c r="AZ79" s="36"/>
      <c r="BA79" s="36"/>
      <c r="BB79" s="36"/>
      <c r="BC79" s="36"/>
      <c r="BD79" s="36"/>
      <c r="BE79" s="36"/>
    </row>
    <row r="80" spans="2:57" s="30" customFormat="1" ht="15" x14ac:dyDescent="0.2">
      <c r="B80" s="44" t="s">
        <v>465</v>
      </c>
      <c r="C80" s="386"/>
      <c r="D80" s="81" t="s">
        <v>5</v>
      </c>
      <c r="G80" s="33"/>
      <c r="H80" s="81"/>
      <c r="J80" s="51"/>
      <c r="K80" s="33"/>
      <c r="L80" s="33"/>
      <c r="M80" s="81"/>
      <c r="N80" s="81"/>
      <c r="O80" s="96"/>
      <c r="P80" s="51"/>
      <c r="Q80" s="50"/>
      <c r="R80" s="95"/>
      <c r="S80" s="35"/>
      <c r="T80" s="35"/>
      <c r="U80" s="35"/>
      <c r="V80" s="35"/>
      <c r="W80" s="35"/>
      <c r="X80" s="35"/>
      <c r="Y80" s="35"/>
      <c r="Z80" s="35"/>
      <c r="AA80" s="35"/>
      <c r="AB80" s="35"/>
      <c r="AC80" s="35"/>
      <c r="AD80" s="35"/>
      <c r="AE80" s="35"/>
      <c r="AF80" s="35"/>
      <c r="AG80" s="35"/>
      <c r="AH80" s="35"/>
      <c r="AI80" s="35"/>
      <c r="AJ80" s="35"/>
      <c r="AK80" s="35"/>
      <c r="AL80" s="35"/>
      <c r="AM80" s="35"/>
      <c r="AN80" s="36"/>
      <c r="AO80" s="36"/>
      <c r="AP80" s="36"/>
      <c r="AQ80" s="36"/>
      <c r="AR80" s="36"/>
      <c r="AS80" s="36"/>
      <c r="AT80" s="36"/>
      <c r="AU80" s="36"/>
      <c r="AV80" s="36"/>
      <c r="AW80" s="36"/>
      <c r="AX80" s="36"/>
      <c r="AY80" s="36"/>
      <c r="AZ80" s="36"/>
      <c r="BA80" s="36"/>
      <c r="BB80" s="36"/>
      <c r="BC80" s="36"/>
      <c r="BD80" s="36"/>
      <c r="BE80" s="36"/>
    </row>
    <row r="81" spans="2:59" s="30" customFormat="1" ht="15" x14ac:dyDescent="0.2">
      <c r="C81" s="33"/>
      <c r="D81" s="81"/>
      <c r="G81" s="33"/>
      <c r="H81" s="81"/>
      <c r="J81" s="32"/>
      <c r="K81" s="33"/>
      <c r="L81" s="33"/>
      <c r="M81" s="81"/>
      <c r="N81" s="81"/>
      <c r="O81" s="96"/>
      <c r="Q81" s="34"/>
      <c r="R81" s="95"/>
      <c r="S81" s="35"/>
      <c r="T81" s="35"/>
      <c r="U81" s="35"/>
      <c r="V81" s="35"/>
      <c r="W81" s="35"/>
      <c r="X81" s="35"/>
      <c r="Y81" s="35"/>
      <c r="Z81" s="35"/>
      <c r="AA81" s="35"/>
      <c r="AB81" s="35"/>
      <c r="AC81" s="35"/>
      <c r="AD81" s="35"/>
      <c r="AE81" s="35"/>
      <c r="AF81" s="35"/>
      <c r="AG81" s="35"/>
      <c r="AH81" s="35"/>
      <c r="AI81" s="35"/>
      <c r="AJ81" s="35"/>
      <c r="AK81" s="35"/>
      <c r="AL81" s="35"/>
      <c r="AM81" s="35"/>
      <c r="AN81" s="36"/>
      <c r="AO81" s="36"/>
      <c r="AP81" s="36"/>
      <c r="AQ81" s="36"/>
      <c r="AR81" s="36"/>
      <c r="AS81" s="36"/>
      <c r="AT81" s="36"/>
      <c r="AU81" s="36"/>
      <c r="AV81" s="36"/>
      <c r="AW81" s="36"/>
      <c r="AX81" s="36"/>
      <c r="AY81" s="36"/>
      <c r="AZ81" s="36"/>
      <c r="BA81" s="36"/>
      <c r="BB81" s="36"/>
      <c r="BC81" s="36"/>
      <c r="BD81" s="36"/>
      <c r="BE81" s="36"/>
    </row>
    <row r="82" spans="2:59" s="30" customFormat="1" ht="45" x14ac:dyDescent="0.2">
      <c r="B82" s="76" t="s">
        <v>606</v>
      </c>
      <c r="C82" s="471" t="s">
        <v>6</v>
      </c>
      <c r="D82" s="473"/>
      <c r="E82" s="33"/>
      <c r="F82" s="56"/>
      <c r="G82" s="33"/>
      <c r="H82" s="81"/>
      <c r="J82" s="32"/>
      <c r="K82" s="33"/>
      <c r="L82" s="33"/>
      <c r="M82" s="81"/>
      <c r="N82" s="81"/>
      <c r="O82" s="96"/>
      <c r="Q82" s="34"/>
      <c r="R82" s="95"/>
      <c r="S82" s="35"/>
      <c r="T82" s="35"/>
      <c r="U82" s="35"/>
      <c r="V82" s="35"/>
      <c r="W82" s="35"/>
      <c r="X82" s="35"/>
      <c r="Y82" s="35"/>
      <c r="Z82" s="35"/>
      <c r="AA82" s="35"/>
      <c r="AB82" s="35"/>
      <c r="AC82" s="35"/>
      <c r="AD82" s="35"/>
      <c r="AE82" s="35"/>
      <c r="AF82" s="35"/>
      <c r="AG82" s="35"/>
      <c r="AH82" s="35"/>
      <c r="AI82" s="35"/>
      <c r="AJ82" s="35"/>
      <c r="AK82" s="35"/>
      <c r="AL82" s="35"/>
      <c r="AM82" s="35"/>
      <c r="AN82" s="36"/>
      <c r="AO82" s="36"/>
      <c r="AP82" s="36"/>
      <c r="AQ82" s="36"/>
      <c r="AR82" s="36"/>
      <c r="AS82" s="36"/>
      <c r="AT82" s="36"/>
      <c r="AU82" s="36"/>
      <c r="AV82" s="36"/>
      <c r="AW82" s="36"/>
      <c r="AX82" s="36"/>
      <c r="AY82" s="36"/>
      <c r="AZ82" s="36"/>
      <c r="BA82" s="36"/>
      <c r="BB82" s="36"/>
      <c r="BC82" s="36"/>
      <c r="BD82" s="36"/>
      <c r="BE82" s="36"/>
    </row>
    <row r="83" spans="2:59" s="30" customFormat="1" ht="15" x14ac:dyDescent="0.2">
      <c r="C83" s="33"/>
      <c r="D83" s="81"/>
      <c r="G83" s="33"/>
      <c r="H83" s="81"/>
      <c r="J83" s="32"/>
      <c r="K83" s="33"/>
      <c r="L83" s="33"/>
      <c r="M83" s="81"/>
      <c r="N83" s="81"/>
      <c r="O83" s="81"/>
      <c r="Q83" s="34"/>
      <c r="R83" s="95"/>
      <c r="S83" s="35"/>
      <c r="T83" s="35"/>
      <c r="U83" s="35"/>
      <c r="V83" s="35"/>
      <c r="W83" s="35"/>
      <c r="X83" s="35"/>
      <c r="Y83" s="35"/>
      <c r="Z83" s="35"/>
      <c r="AA83" s="35"/>
      <c r="AB83" s="35"/>
      <c r="AC83" s="35"/>
      <c r="AD83" s="35"/>
      <c r="AE83" s="35"/>
      <c r="AF83" s="35"/>
      <c r="AG83" s="35"/>
      <c r="AH83" s="35"/>
      <c r="AI83" s="35"/>
      <c r="AJ83" s="35"/>
      <c r="AK83" s="35"/>
      <c r="AL83" s="35"/>
      <c r="AM83" s="35"/>
      <c r="AN83" s="36"/>
      <c r="AO83" s="36"/>
      <c r="AP83" s="36"/>
      <c r="AQ83" s="36"/>
      <c r="AR83" s="36"/>
      <c r="AS83" s="36"/>
      <c r="AT83" s="36"/>
      <c r="AU83" s="36"/>
      <c r="AV83" s="36"/>
      <c r="AW83" s="36"/>
      <c r="AX83" s="36"/>
      <c r="AY83" s="36"/>
      <c r="AZ83" s="36"/>
      <c r="BA83" s="36"/>
      <c r="BB83" s="36"/>
      <c r="BC83" s="36"/>
      <c r="BD83" s="36"/>
      <c r="BE83" s="36"/>
    </row>
    <row r="84" spans="2:59" s="289" customFormat="1" ht="18" x14ac:dyDescent="0.2">
      <c r="B84" s="286" t="s">
        <v>566</v>
      </c>
      <c r="C84" s="287"/>
      <c r="D84" s="288"/>
      <c r="G84" s="287"/>
      <c r="H84" s="288"/>
      <c r="K84" s="287"/>
      <c r="L84" s="287"/>
      <c r="M84" s="288"/>
      <c r="N84" s="288"/>
      <c r="O84" s="291"/>
      <c r="P84" s="311"/>
      <c r="Q84" s="295"/>
      <c r="R84" s="289" t="str">
        <f>IF(OR(ISNUMBER(#REF!),ISNUMBER(#REF!),ISNUMBER(#REF!),ISNUMBER(#REF!),ISNUMBER(#REF!)),SUM(#REF!,#REF!,#REF!,#REF!,#REF!),"")</f>
        <v/>
      </c>
      <c r="S84" s="294"/>
      <c r="T84" s="294"/>
      <c r="U84" s="294"/>
      <c r="V84" s="294"/>
      <c r="W84" s="294"/>
      <c r="X84" s="294"/>
      <c r="Y84" s="294"/>
      <c r="Z84" s="294"/>
      <c r="AA84" s="294"/>
      <c r="AB84" s="294"/>
      <c r="AC84" s="294"/>
      <c r="AD84" s="294"/>
      <c r="AE84" s="294"/>
      <c r="AF84" s="294"/>
      <c r="AG84" s="294"/>
      <c r="AH84" s="294"/>
      <c r="AI84" s="294"/>
      <c r="AJ84" s="294"/>
      <c r="AK84" s="294"/>
      <c r="AL84" s="294"/>
      <c r="AM84" s="294"/>
      <c r="AN84" s="295"/>
      <c r="AO84" s="295"/>
      <c r="AP84" s="295"/>
      <c r="AQ84" s="295"/>
      <c r="AR84" s="295"/>
      <c r="AS84" s="295"/>
      <c r="AT84" s="295"/>
      <c r="AU84" s="295"/>
      <c r="AV84" s="295"/>
      <c r="AW84" s="295"/>
      <c r="AX84" s="295"/>
      <c r="AY84" s="295"/>
      <c r="AZ84" s="295"/>
      <c r="BA84" s="295"/>
      <c r="BB84" s="295"/>
      <c r="BC84" s="295"/>
      <c r="BD84" s="295"/>
      <c r="BE84" s="295"/>
    </row>
    <row r="85" spans="2:59" s="30" customFormat="1" ht="15.75" x14ac:dyDescent="0.2">
      <c r="B85" s="8"/>
      <c r="C85" s="33"/>
      <c r="D85" s="81"/>
      <c r="G85" s="37" t="s">
        <v>183</v>
      </c>
      <c r="H85" s="81"/>
      <c r="J85" s="32"/>
      <c r="K85" s="37" t="s">
        <v>297</v>
      </c>
      <c r="L85" s="37" t="s">
        <v>185</v>
      </c>
      <c r="M85" s="81"/>
      <c r="N85" s="81"/>
      <c r="O85" s="249" t="s">
        <v>584</v>
      </c>
      <c r="P85" s="37"/>
      <c r="Q85" s="34"/>
      <c r="R85" s="35" t="s">
        <v>318</v>
      </c>
      <c r="S85" s="35"/>
      <c r="T85" s="35" t="s">
        <v>343</v>
      </c>
      <c r="U85" s="35" t="s">
        <v>153</v>
      </c>
      <c r="V85" s="35" t="s">
        <v>323</v>
      </c>
      <c r="W85" s="104"/>
      <c r="X85" s="35"/>
      <c r="Y85" s="35"/>
      <c r="Z85" s="35"/>
      <c r="AA85" s="35"/>
      <c r="AB85" s="35"/>
      <c r="AC85" s="35"/>
      <c r="AD85" s="35"/>
      <c r="AE85" s="35"/>
      <c r="AF85" s="35"/>
      <c r="AG85" s="35"/>
      <c r="AH85" s="35"/>
      <c r="AI85" s="35"/>
      <c r="AJ85" s="35"/>
      <c r="AK85" s="35"/>
      <c r="AL85" s="35"/>
      <c r="AM85" s="35"/>
      <c r="AN85" s="36"/>
      <c r="AO85" s="36"/>
      <c r="AP85" s="36"/>
      <c r="AQ85" s="36"/>
      <c r="AR85" s="36"/>
      <c r="AS85" s="36"/>
      <c r="AT85" s="36"/>
      <c r="AU85" s="36"/>
      <c r="AV85" s="36"/>
      <c r="AW85" s="36"/>
      <c r="AX85" s="36"/>
      <c r="AY85" s="36"/>
      <c r="AZ85" s="36"/>
      <c r="BA85" s="36"/>
      <c r="BB85" s="36"/>
      <c r="BC85" s="36"/>
      <c r="BD85" s="36"/>
      <c r="BE85" s="36"/>
    </row>
    <row r="86" spans="2:59" s="30" customFormat="1" ht="15" x14ac:dyDescent="0.2">
      <c r="B86" s="159" t="s">
        <v>416</v>
      </c>
      <c r="C86" s="152"/>
      <c r="D86" s="88" t="s">
        <v>163</v>
      </c>
      <c r="G86" s="64">
        <v>1.8</v>
      </c>
      <c r="H86" s="81" t="s">
        <v>165</v>
      </c>
      <c r="J86" s="32" t="s">
        <v>322</v>
      </c>
      <c r="K86" s="92">
        <f>IF(ISNUMBER(L86),L86,VLOOKUP(B86,Materiaalit!$C$5:$M$16,7,FALSE))</f>
        <v>6.0000000000000001E-3</v>
      </c>
      <c r="L86" s="39"/>
      <c r="M86" s="40" t="s">
        <v>247</v>
      </c>
      <c r="N86" s="40"/>
      <c r="O86" s="250"/>
      <c r="P86" s="40"/>
      <c r="Q86" s="50"/>
      <c r="R86" s="48" t="str">
        <f>IF(ISNUMBER(K86*V86*1000),K86*V86*1000,"")</f>
        <v/>
      </c>
      <c r="S86" s="98" t="s">
        <v>160</v>
      </c>
      <c r="T86" s="48" t="str">
        <f>IF(ISBLANK(C86),"",IF(D86="t",C86,C86*G86))</f>
        <v/>
      </c>
      <c r="U86" s="46">
        <f>VLOOKUP(B86,Materiaalit!$C$5:$M$16,11,FALSE)</f>
        <v>1.05</v>
      </c>
      <c r="V86" s="48" t="str">
        <f>IF(ISNUMBER(U86*T86),U86*T86,"")</f>
        <v/>
      </c>
      <c r="W86" s="104"/>
      <c r="X86" s="35"/>
      <c r="Y86" s="35"/>
      <c r="Z86" s="35"/>
      <c r="AA86" s="35"/>
      <c r="AB86" s="35"/>
      <c r="AC86" s="35"/>
      <c r="AD86" s="35"/>
      <c r="AE86" s="35"/>
      <c r="AF86" s="35"/>
      <c r="AG86" s="35"/>
      <c r="AH86" s="35"/>
      <c r="AI86" s="35"/>
      <c r="AJ86" s="35"/>
      <c r="AK86" s="35"/>
      <c r="AL86" s="35"/>
      <c r="AM86" s="35"/>
      <c r="AN86" s="36"/>
      <c r="AO86" s="36"/>
      <c r="AP86" s="36"/>
      <c r="AQ86" s="36"/>
      <c r="AR86" s="36"/>
      <c r="AS86" s="36"/>
      <c r="AT86" s="36"/>
      <c r="AU86" s="36"/>
      <c r="AV86" s="36"/>
      <c r="AW86" s="36"/>
      <c r="AX86" s="36"/>
      <c r="AY86" s="36"/>
      <c r="AZ86" s="36"/>
      <c r="BA86" s="36"/>
      <c r="BB86" s="36"/>
      <c r="BC86" s="36"/>
      <c r="BD86" s="36"/>
      <c r="BE86" s="36"/>
    </row>
    <row r="87" spans="2:59" s="30" customFormat="1" ht="15" x14ac:dyDescent="0.2">
      <c r="B87" s="159" t="s">
        <v>415</v>
      </c>
      <c r="C87" s="152"/>
      <c r="D87" s="86" t="s">
        <v>163</v>
      </c>
      <c r="G87" s="65">
        <v>1.7</v>
      </c>
      <c r="H87" s="81" t="s">
        <v>165</v>
      </c>
      <c r="J87" s="32" t="s">
        <v>322</v>
      </c>
      <c r="K87" s="92">
        <f>IF(ISNUMBER(L87),L87,VLOOKUP(B87,Materiaalit!$C$5:$M$16,7,FALSE))</f>
        <v>6.0000000000000001E-3</v>
      </c>
      <c r="L87" s="39"/>
      <c r="M87" s="40" t="s">
        <v>247</v>
      </c>
      <c r="N87" s="40"/>
      <c r="O87" s="259"/>
      <c r="P87" s="40"/>
      <c r="Q87" s="50"/>
      <c r="R87" s="48" t="str">
        <f>IF(ISNUMBER(K87*V87*1000),K87*V87*1000,"")</f>
        <v/>
      </c>
      <c r="S87" s="98" t="s">
        <v>160</v>
      </c>
      <c r="T87" s="48" t="str">
        <f>IF(ISBLANK(C87),"",IF(D87="t",C87,C87*G87))</f>
        <v/>
      </c>
      <c r="U87" s="46">
        <f>VLOOKUP(B87,Materiaalit!$C$5:$M$16,11,FALSE)</f>
        <v>1.05</v>
      </c>
      <c r="V87" s="48" t="str">
        <f>IF(ISNUMBER(U87*T87),U87*T87,"")</f>
        <v/>
      </c>
      <c r="W87" s="104"/>
      <c r="X87" s="35"/>
      <c r="Y87" s="35"/>
      <c r="Z87" s="35"/>
      <c r="AA87" s="35"/>
      <c r="AB87" s="35"/>
      <c r="AC87" s="35"/>
      <c r="AD87" s="35"/>
      <c r="AE87" s="35"/>
      <c r="AF87" s="35"/>
      <c r="AG87" s="35"/>
      <c r="AH87" s="35"/>
      <c r="AI87" s="35"/>
      <c r="AJ87" s="35"/>
      <c r="AK87" s="35"/>
      <c r="AL87" s="35"/>
      <c r="AM87" s="35"/>
      <c r="AN87" s="36"/>
      <c r="AO87" s="36"/>
      <c r="AP87" s="36"/>
      <c r="AQ87" s="36"/>
      <c r="AR87" s="36"/>
      <c r="AS87" s="36"/>
      <c r="AT87" s="36"/>
      <c r="AU87" s="36"/>
      <c r="AV87" s="36"/>
      <c r="AW87" s="36"/>
      <c r="AX87" s="36"/>
      <c r="AY87" s="36"/>
      <c r="AZ87" s="36"/>
      <c r="BA87" s="36"/>
      <c r="BB87" s="36"/>
      <c r="BC87" s="36"/>
      <c r="BD87" s="36"/>
      <c r="BE87" s="36"/>
    </row>
    <row r="88" spans="2:59" s="30" customFormat="1" ht="15" x14ac:dyDescent="0.2">
      <c r="B88" s="159" t="s">
        <v>417</v>
      </c>
      <c r="C88" s="152"/>
      <c r="D88" s="89" t="s">
        <v>163</v>
      </c>
      <c r="G88" s="65">
        <v>1.7</v>
      </c>
      <c r="H88" s="81" t="s">
        <v>165</v>
      </c>
      <c r="J88" s="32" t="s">
        <v>322</v>
      </c>
      <c r="K88" s="92">
        <f>IF(ISNUMBER(L88),L88,VLOOKUP(B88,Materiaalit!$C$5:$M$16,7,FALSE))</f>
        <v>4.0000000000000001E-3</v>
      </c>
      <c r="L88" s="39"/>
      <c r="M88" s="40" t="s">
        <v>247</v>
      </c>
      <c r="N88" s="40"/>
      <c r="O88" s="259"/>
      <c r="P88" s="40"/>
      <c r="Q88" s="50"/>
      <c r="R88" s="48" t="str">
        <f>IF(ISNUMBER(K88*V88*1000),K88*V88*1000,"")</f>
        <v/>
      </c>
      <c r="S88" s="98" t="s">
        <v>160</v>
      </c>
      <c r="T88" s="48" t="str">
        <f>IF(ISBLANK(C88),"",IF(D88="t",C88,C88*G88))</f>
        <v/>
      </c>
      <c r="U88" s="46">
        <f>VLOOKUP(B88,Materiaalit!$C$5:$M$16,11,FALSE)</f>
        <v>1.05</v>
      </c>
      <c r="V88" s="48" t="str">
        <f>IF(ISNUMBER(U88*T88),U88*T88,"")</f>
        <v/>
      </c>
      <c r="W88" s="104"/>
      <c r="X88" s="35"/>
      <c r="Y88" s="35"/>
      <c r="Z88" s="35"/>
      <c r="AA88" s="35"/>
      <c r="AB88" s="35"/>
      <c r="AC88" s="35"/>
      <c r="AD88" s="35"/>
      <c r="AE88" s="35"/>
      <c r="AF88" s="35"/>
      <c r="AG88" s="35"/>
      <c r="AH88" s="35"/>
      <c r="AI88" s="35"/>
      <c r="AJ88" s="35"/>
      <c r="AK88" s="35"/>
      <c r="AL88" s="35"/>
      <c r="AM88" s="35"/>
      <c r="AN88" s="36"/>
      <c r="AO88" s="36"/>
      <c r="AP88" s="36"/>
      <c r="AQ88" s="36"/>
      <c r="AR88" s="36"/>
      <c r="AS88" s="36"/>
      <c r="AT88" s="36"/>
      <c r="AU88" s="36"/>
      <c r="AV88" s="36"/>
      <c r="AW88" s="36"/>
      <c r="AX88" s="36"/>
      <c r="AY88" s="36"/>
      <c r="AZ88" s="36"/>
      <c r="BA88" s="36"/>
      <c r="BB88" s="36"/>
      <c r="BC88" s="36"/>
      <c r="BD88" s="36"/>
      <c r="BE88" s="36"/>
    </row>
    <row r="89" spans="2:59" s="30" customFormat="1" ht="15" x14ac:dyDescent="0.2">
      <c r="B89" s="159" t="s">
        <v>418</v>
      </c>
      <c r="C89" s="152"/>
      <c r="D89" s="86" t="s">
        <v>163</v>
      </c>
      <c r="G89" s="65">
        <v>1.4</v>
      </c>
      <c r="H89" s="81" t="s">
        <v>165</v>
      </c>
      <c r="J89" s="32" t="s">
        <v>322</v>
      </c>
      <c r="K89" s="92">
        <f>IF(ISNUMBER(L89),L89,VLOOKUP(B89,Materiaalit!$C$5:$M$16,7,FALSE))</f>
        <v>4.0000000000000001E-3</v>
      </c>
      <c r="L89" s="39"/>
      <c r="M89" s="40" t="s">
        <v>247</v>
      </c>
      <c r="N89" s="40"/>
      <c r="O89" s="259"/>
      <c r="P89" s="40"/>
      <c r="Q89" s="50"/>
      <c r="R89" s="48" t="str">
        <f>IF(ISNUMBER(K89*V89*1000),K89*V89*1000,"")</f>
        <v/>
      </c>
      <c r="S89" s="98" t="s">
        <v>160</v>
      </c>
      <c r="T89" s="48" t="str">
        <f>IF(ISBLANK(C89),"",IF(D89="t",C89,C89*G89))</f>
        <v/>
      </c>
      <c r="U89" s="46">
        <f>VLOOKUP(B89,Materiaalit!$C$5:$M$16,11,FALSE)</f>
        <v>1.05</v>
      </c>
      <c r="V89" s="48" t="str">
        <f>IF(ISNUMBER(U89*T89),U89*T89,"")</f>
        <v/>
      </c>
      <c r="W89" s="104"/>
      <c r="X89" s="35"/>
      <c r="Y89" s="35"/>
      <c r="Z89" s="35"/>
      <c r="AA89" s="35"/>
      <c r="AB89" s="35"/>
      <c r="AC89" s="35"/>
      <c r="AD89" s="35"/>
      <c r="AE89" s="35"/>
      <c r="AF89" s="35"/>
      <c r="AG89" s="35"/>
      <c r="AH89" s="35"/>
      <c r="AI89" s="35"/>
      <c r="AJ89" s="35"/>
      <c r="AK89" s="35"/>
      <c r="AL89" s="35"/>
      <c r="AM89" s="35"/>
      <c r="AN89" s="36"/>
      <c r="AO89" s="36"/>
      <c r="AP89" s="36"/>
      <c r="AQ89" s="36"/>
      <c r="AR89" s="36"/>
      <c r="AS89" s="36"/>
      <c r="AT89" s="36"/>
      <c r="AU89" s="36"/>
      <c r="AV89" s="36"/>
      <c r="AW89" s="36"/>
      <c r="AX89" s="36"/>
      <c r="AY89" s="36"/>
      <c r="AZ89" s="36"/>
      <c r="BA89" s="36"/>
      <c r="BB89" s="36"/>
      <c r="BC89" s="36"/>
      <c r="BD89" s="36"/>
      <c r="BE89" s="36"/>
    </row>
    <row r="90" spans="2:59" s="30" customFormat="1" ht="15" x14ac:dyDescent="0.2">
      <c r="B90" s="151" t="s">
        <v>419</v>
      </c>
      <c r="C90" s="152"/>
      <c r="D90" s="86" t="s">
        <v>163</v>
      </c>
      <c r="G90" s="156"/>
      <c r="H90" s="81" t="s">
        <v>165</v>
      </c>
      <c r="J90" s="32" t="s">
        <v>322</v>
      </c>
      <c r="K90" s="92">
        <f>IF(ISNUMBER(L90),L90,Materiaalit!$I$18)</f>
        <v>5.0000000000000001E-3</v>
      </c>
      <c r="L90" s="39"/>
      <c r="M90" s="40" t="s">
        <v>247</v>
      </c>
      <c r="N90" s="40"/>
      <c r="O90" s="259"/>
      <c r="P90" s="40"/>
      <c r="Q90" s="50"/>
      <c r="R90" s="48" t="str">
        <f>IF(ISNUMBER(K90*V90*1000),K90*V90*1000,"")</f>
        <v/>
      </c>
      <c r="S90" s="98" t="s">
        <v>160</v>
      </c>
      <c r="T90" s="48" t="str">
        <f>IF(ISBLANK(C90),"",IF(D90="t",C90,C90*G90))</f>
        <v/>
      </c>
      <c r="U90" s="46">
        <f>Materiaalit!$M$18</f>
        <v>1.05</v>
      </c>
      <c r="V90" s="48" t="str">
        <f>IF(ISNUMBER(U90*T90),U90*T90,"")</f>
        <v/>
      </c>
      <c r="W90" s="104"/>
      <c r="X90" s="35"/>
      <c r="Y90" s="35"/>
      <c r="Z90" s="35"/>
      <c r="AA90" s="35"/>
      <c r="AB90" s="35"/>
      <c r="AC90" s="35"/>
      <c r="AD90" s="35"/>
      <c r="AE90" s="35"/>
      <c r="AF90" s="35"/>
      <c r="AG90" s="35"/>
      <c r="AH90" s="35"/>
      <c r="AI90" s="35"/>
      <c r="AJ90" s="35"/>
      <c r="AK90" s="35"/>
      <c r="AL90" s="35"/>
      <c r="AM90" s="35"/>
      <c r="AN90" s="36"/>
      <c r="AO90" s="36"/>
      <c r="AP90" s="36"/>
      <c r="AQ90" s="36"/>
      <c r="AR90" s="36"/>
      <c r="AS90" s="36"/>
      <c r="AT90" s="36"/>
      <c r="AU90" s="36"/>
      <c r="AV90" s="36"/>
      <c r="AW90" s="36"/>
      <c r="AX90" s="36"/>
      <c r="AY90" s="36"/>
      <c r="AZ90" s="36"/>
      <c r="BA90" s="36"/>
      <c r="BB90" s="36"/>
      <c r="BC90" s="36"/>
      <c r="BD90" s="36"/>
      <c r="BE90" s="36"/>
    </row>
    <row r="91" spans="2:59" s="30" customFormat="1" ht="15" x14ac:dyDescent="0.2">
      <c r="C91" s="33"/>
      <c r="D91" s="81"/>
      <c r="G91" s="33"/>
      <c r="H91" s="81"/>
      <c r="J91" s="32"/>
      <c r="K91" s="33"/>
      <c r="L91" s="33"/>
      <c r="M91" s="81"/>
      <c r="N91" s="81"/>
      <c r="O91" s="96"/>
      <c r="Q91" s="34"/>
      <c r="R91" s="95"/>
      <c r="S91" s="35"/>
      <c r="T91" s="35"/>
      <c r="U91" s="35"/>
      <c r="V91" s="35"/>
      <c r="W91" s="35"/>
      <c r="X91" s="35"/>
      <c r="Y91" s="35"/>
      <c r="Z91" s="35"/>
      <c r="AA91" s="35"/>
      <c r="AB91" s="35"/>
      <c r="AC91" s="35"/>
      <c r="AD91" s="35"/>
      <c r="AE91" s="35"/>
      <c r="AF91" s="35"/>
      <c r="AG91" s="35"/>
      <c r="AH91" s="35"/>
      <c r="AI91" s="35"/>
      <c r="AJ91" s="35"/>
      <c r="AK91" s="35"/>
      <c r="AL91" s="35"/>
      <c r="AM91" s="35"/>
      <c r="AN91" s="36"/>
      <c r="AO91" s="36"/>
      <c r="AP91" s="36"/>
      <c r="AQ91" s="36"/>
      <c r="AR91" s="36"/>
      <c r="AS91" s="36"/>
      <c r="AT91" s="36"/>
      <c r="AU91" s="36"/>
      <c r="AV91" s="36"/>
      <c r="AW91" s="36"/>
      <c r="AX91" s="36"/>
      <c r="AY91" s="36"/>
      <c r="AZ91" s="36"/>
      <c r="BA91" s="36"/>
      <c r="BB91" s="36"/>
      <c r="BC91" s="36"/>
      <c r="BD91" s="36"/>
      <c r="BE91" s="36"/>
    </row>
    <row r="92" spans="2:59" s="30" customFormat="1" ht="15" x14ac:dyDescent="0.2">
      <c r="B92" s="173" t="s">
        <v>540</v>
      </c>
      <c r="C92" s="33"/>
      <c r="D92" s="81"/>
      <c r="E92" s="57"/>
      <c r="G92" s="33"/>
      <c r="H92" s="81"/>
      <c r="J92" s="32"/>
      <c r="K92" s="41"/>
      <c r="L92" s="41"/>
      <c r="M92" s="40"/>
      <c r="N92" s="40"/>
      <c r="O92" s="259"/>
      <c r="P92" s="40"/>
      <c r="Q92" s="162"/>
      <c r="R92" s="163"/>
      <c r="S92" s="97"/>
      <c r="T92" s="163"/>
      <c r="U92" s="53"/>
      <c r="V92" s="163"/>
      <c r="X92" s="53"/>
      <c r="Y92" s="53"/>
      <c r="Z92" s="53"/>
      <c r="AA92" s="53"/>
      <c r="AB92" s="53"/>
      <c r="AC92" s="53"/>
      <c r="AD92" s="53"/>
      <c r="AE92" s="53"/>
      <c r="AF92" s="53"/>
      <c r="AG92" s="53"/>
      <c r="AH92" s="53"/>
      <c r="AI92" s="53"/>
      <c r="AJ92" s="53"/>
      <c r="AK92" s="53"/>
      <c r="AL92" s="53"/>
      <c r="AM92" s="53"/>
      <c r="AN92" s="54"/>
      <c r="AO92" s="54"/>
      <c r="AP92" s="54"/>
      <c r="AQ92" s="54"/>
      <c r="AR92" s="54"/>
      <c r="AS92" s="54"/>
      <c r="AT92" s="54"/>
      <c r="AU92" s="54"/>
      <c r="AV92" s="54"/>
      <c r="AW92" s="54"/>
      <c r="AX92" s="54"/>
      <c r="AY92" s="54"/>
      <c r="AZ92" s="54"/>
      <c r="BA92" s="54"/>
      <c r="BB92" s="54"/>
      <c r="BC92" s="54"/>
      <c r="BD92" s="54"/>
      <c r="BE92" s="54"/>
    </row>
    <row r="93" spans="2:59" s="30" customFormat="1" ht="15" x14ac:dyDescent="0.2">
      <c r="C93" s="33"/>
      <c r="D93" s="81"/>
      <c r="G93" s="33"/>
      <c r="H93" s="81"/>
      <c r="J93" s="32"/>
      <c r="K93" s="33"/>
      <c r="L93" s="33"/>
      <c r="M93" s="81"/>
      <c r="N93" s="81"/>
      <c r="O93" s="81"/>
      <c r="Q93" s="34"/>
      <c r="R93" s="95"/>
      <c r="S93" s="35"/>
      <c r="T93" s="35"/>
      <c r="U93" s="35"/>
      <c r="V93" s="35"/>
      <c r="W93" s="35"/>
      <c r="X93" s="35"/>
      <c r="Y93" s="35"/>
      <c r="Z93" s="35"/>
      <c r="AA93" s="35"/>
      <c r="AB93" s="35"/>
      <c r="AC93" s="35"/>
      <c r="AD93" s="35"/>
      <c r="AE93" s="35"/>
      <c r="AF93" s="35"/>
      <c r="AG93" s="35"/>
      <c r="AH93" s="35"/>
      <c r="AI93" s="35"/>
      <c r="AJ93" s="35"/>
      <c r="AK93" s="35"/>
      <c r="AL93" s="35"/>
      <c r="AM93" s="35"/>
      <c r="AN93" s="36"/>
      <c r="AO93" s="36"/>
      <c r="AP93" s="36"/>
      <c r="AQ93" s="36"/>
      <c r="AR93" s="36"/>
      <c r="AS93" s="36"/>
      <c r="AT93" s="36"/>
      <c r="AU93" s="36"/>
      <c r="AV93" s="36"/>
      <c r="AW93" s="36"/>
      <c r="AX93" s="36"/>
      <c r="AY93" s="36"/>
      <c r="AZ93" s="36"/>
      <c r="BA93" s="36"/>
      <c r="BB93" s="36"/>
      <c r="BC93" s="36"/>
      <c r="BD93" s="36"/>
      <c r="BE93" s="36"/>
    </row>
    <row r="94" spans="2:59" s="289" customFormat="1" ht="18" x14ac:dyDescent="0.2">
      <c r="B94" s="286" t="s">
        <v>324</v>
      </c>
      <c r="C94" s="287"/>
      <c r="D94" s="288"/>
      <c r="G94" s="287"/>
      <c r="H94" s="288"/>
      <c r="K94" s="287"/>
      <c r="L94" s="287"/>
      <c r="M94" s="288"/>
      <c r="N94" s="288"/>
      <c r="O94" s="291"/>
      <c r="P94" s="311"/>
      <c r="Q94" s="295"/>
      <c r="S94" s="294"/>
      <c r="T94" s="294"/>
      <c r="U94" s="294"/>
      <c r="V94" s="294"/>
      <c r="W94" s="294"/>
      <c r="X94" s="294"/>
      <c r="Y94" s="294"/>
      <c r="Z94" s="294"/>
      <c r="AA94" s="294"/>
      <c r="AB94" s="294"/>
      <c r="AC94" s="294"/>
      <c r="AD94" s="294"/>
      <c r="AE94" s="294"/>
      <c r="AF94" s="294"/>
      <c r="AG94" s="294"/>
      <c r="AH94" s="294"/>
      <c r="AI94" s="294"/>
      <c r="AJ94" s="294"/>
      <c r="AK94" s="294"/>
      <c r="AL94" s="294"/>
      <c r="AM94" s="294"/>
      <c r="AN94" s="295"/>
      <c r="AO94" s="295"/>
      <c r="AP94" s="295"/>
      <c r="AQ94" s="295"/>
      <c r="AR94" s="295"/>
      <c r="AS94" s="295"/>
      <c r="AT94" s="295"/>
      <c r="AU94" s="295"/>
      <c r="AV94" s="295"/>
      <c r="AW94" s="295"/>
      <c r="AX94" s="295"/>
      <c r="AY94" s="295"/>
      <c r="AZ94" s="295"/>
      <c r="BA94" s="295"/>
      <c r="BB94" s="295"/>
      <c r="BC94" s="295"/>
      <c r="BD94" s="295"/>
      <c r="BE94" s="295"/>
    </row>
    <row r="95" spans="2:59" s="30" customFormat="1" ht="15.75" x14ac:dyDescent="0.2">
      <c r="B95" s="8"/>
      <c r="C95" s="33"/>
      <c r="D95" s="81"/>
      <c r="G95" s="37"/>
      <c r="H95" s="81"/>
      <c r="J95" s="32"/>
      <c r="K95" s="37"/>
      <c r="L95" s="37"/>
      <c r="M95" s="83"/>
      <c r="N95" s="83"/>
      <c r="O95" s="249" t="s">
        <v>584</v>
      </c>
      <c r="P95" s="37"/>
      <c r="Q95" s="34"/>
      <c r="R95" s="102"/>
      <c r="S95" s="43"/>
      <c r="T95" s="35"/>
      <c r="U95" s="35"/>
      <c r="V95" s="43"/>
      <c r="W95" s="35"/>
      <c r="X95" s="43"/>
      <c r="Y95" s="43"/>
      <c r="Z95" s="43"/>
      <c r="AA95" s="43"/>
      <c r="AB95" s="43"/>
      <c r="AC95" s="43"/>
      <c r="AD95" s="43"/>
      <c r="AE95" s="43"/>
      <c r="AF95" s="43"/>
      <c r="AG95" s="43"/>
      <c r="AH95" s="43"/>
      <c r="AI95" s="35"/>
      <c r="AJ95" s="35"/>
      <c r="AK95" s="35"/>
      <c r="AL95" s="35"/>
      <c r="AM95" s="35"/>
      <c r="AN95" s="36"/>
      <c r="AO95" s="36"/>
      <c r="AP95" s="36"/>
      <c r="AQ95" s="36"/>
      <c r="AR95" s="36"/>
      <c r="AS95" s="36"/>
      <c r="AT95" s="36"/>
      <c r="AU95" s="36"/>
      <c r="AV95" s="36"/>
      <c r="AW95" s="36"/>
      <c r="AX95" s="36"/>
      <c r="AY95" s="36"/>
      <c r="AZ95" s="36"/>
      <c r="BA95" s="36"/>
      <c r="BB95" s="36"/>
      <c r="BC95" s="36"/>
      <c r="BD95" s="36"/>
      <c r="BE95" s="36"/>
    </row>
    <row r="96" spans="2:59" s="30" customFormat="1" ht="15.75" x14ac:dyDescent="0.2">
      <c r="B96" s="91" t="str">
        <f>IF(LEFT(B86,5)="Louhe","Louhe",B86)</f>
        <v>Louhe</v>
      </c>
      <c r="C96" s="33"/>
      <c r="D96" s="81"/>
      <c r="G96" s="37" t="s">
        <v>183</v>
      </c>
      <c r="H96" s="81"/>
      <c r="I96" s="81"/>
      <c r="J96" s="32"/>
      <c r="K96" s="37" t="s">
        <v>297</v>
      </c>
      <c r="L96" s="37" t="s">
        <v>185</v>
      </c>
      <c r="M96" s="83"/>
      <c r="N96" s="83"/>
      <c r="O96" s="250"/>
      <c r="P96" s="144"/>
      <c r="Q96" s="36"/>
      <c r="R96" s="35" t="s">
        <v>318</v>
      </c>
      <c r="S96" s="43"/>
      <c r="T96" s="35" t="s">
        <v>400</v>
      </c>
      <c r="U96" s="35" t="s">
        <v>399</v>
      </c>
      <c r="V96" s="43" t="s">
        <v>397</v>
      </c>
      <c r="W96" s="35" t="s">
        <v>398</v>
      </c>
      <c r="X96" s="43" t="s">
        <v>401</v>
      </c>
      <c r="Y96" s="43" t="s">
        <v>403</v>
      </c>
      <c r="Z96" s="43" t="s">
        <v>402</v>
      </c>
      <c r="AA96" s="43" t="s">
        <v>186</v>
      </c>
      <c r="AB96" s="43" t="s">
        <v>345</v>
      </c>
      <c r="AC96" s="43" t="s">
        <v>404</v>
      </c>
      <c r="AD96" s="43" t="s">
        <v>346</v>
      </c>
      <c r="AE96" s="43" t="s">
        <v>405</v>
      </c>
      <c r="AF96" s="43" t="s">
        <v>406</v>
      </c>
      <c r="AG96" s="43" t="s">
        <v>578</v>
      </c>
      <c r="AH96" s="35" t="s">
        <v>190</v>
      </c>
      <c r="AI96" s="35" t="s">
        <v>249</v>
      </c>
      <c r="AJ96" s="35" t="s">
        <v>191</v>
      </c>
      <c r="AK96" s="104"/>
      <c r="AL96" s="35"/>
      <c r="AM96" s="35"/>
      <c r="AN96" s="36"/>
      <c r="AO96" s="36"/>
      <c r="AP96" s="36"/>
      <c r="AQ96" s="36"/>
      <c r="AR96" s="36"/>
      <c r="AS96" s="36"/>
      <c r="AT96" s="36"/>
      <c r="AU96" s="36"/>
      <c r="AV96" s="36"/>
      <c r="AW96" s="36"/>
      <c r="AX96" s="36"/>
      <c r="AY96" s="36"/>
      <c r="AZ96" s="36"/>
      <c r="BA96" s="36"/>
      <c r="BB96" s="36"/>
      <c r="BC96" s="36"/>
      <c r="BD96" s="36"/>
      <c r="BE96" s="36"/>
      <c r="BF96" s="104"/>
      <c r="BG96" s="104"/>
    </row>
    <row r="97" spans="2:59" s="30" customFormat="1" ht="30" x14ac:dyDescent="0.2">
      <c r="B97" s="44" t="s">
        <v>475</v>
      </c>
      <c r="C97" s="171" t="str">
        <f>IF(ISNUMBER(C86),C86,"")</f>
        <v/>
      </c>
      <c r="D97" s="109" t="str">
        <f>D86</f>
        <v>m3ktr</v>
      </c>
      <c r="G97" s="108">
        <f>IF(ISNUMBER(G86),G86,"")</f>
        <v>1.8</v>
      </c>
      <c r="H97" s="81" t="str">
        <f>IF(D97="t","t/t","t/m3")</f>
        <v>t/m3</v>
      </c>
      <c r="I97" s="81"/>
      <c r="J97" s="169" t="s">
        <v>395</v>
      </c>
      <c r="K97" s="92" t="str">
        <f>IFERROR(IF(ISNUMBER(L97),L97,(VLOOKUP(C98,Kalusto!$C$45:$G$84,5,FALSE)*VLOOKUP(C99,Muut!$D$40:$E$43,2,FALSE))),"--")</f>
        <v>--</v>
      </c>
      <c r="L97" s="39"/>
      <c r="M97" s="40" t="s">
        <v>184</v>
      </c>
      <c r="N97" s="40"/>
      <c r="O97" s="259"/>
      <c r="P97" s="145"/>
      <c r="Q97" s="100"/>
      <c r="R97" s="48" t="str">
        <f>IF(AND(NOT(ISNUMBER(AB97)),NOT(ISNUMBER(AG97))),"",IF(ISNUMBER(AB97),AB97,0)+IF(ISNUMBER(AG97),AG97,0))</f>
        <v/>
      </c>
      <c r="S97" s="98" t="s">
        <v>160</v>
      </c>
      <c r="T97" s="46" t="str">
        <f>IFERROR(IF(ISNUMBER(L97),"Kohdetieto",VLOOKUP(C98,Kalusto!$C$45:$L$84,7,FALSE)),"--")</f>
        <v>--</v>
      </c>
      <c r="U97" s="46" t="str">
        <f>IFERROR(IF(ISNUMBER(L97),"Kohdetieto",VLOOKUP(C98,Kalusto!$C$45:$L$84,8,FALSE)),"--")</f>
        <v>--</v>
      </c>
      <c r="V97" s="47" t="str">
        <f>IFERROR(IF(ISNUMBER(L97),"Kohdetieto",VLOOKUP(C98,Kalusto!$C$45:$L$84,9,FALSE)),"--")</f>
        <v>--</v>
      </c>
      <c r="W97" s="47" t="str">
        <f>IFERROR(IF(ISNUMBER(L97),"Kohdetieto",VLOOKUP(C98,Kalusto!$C$45:$L$84,10,FALSE)),"--")</f>
        <v>--</v>
      </c>
      <c r="X97" s="48" t="str">
        <f>IF(ISBLANK(C97),"",IF(D97="t",C97,IF(ISNUMBER(C97*G97),C97*G97,"")))</f>
        <v/>
      </c>
      <c r="Y97" s="46" t="str">
        <f>IF(ISNUMBER(C100),C100,"")</f>
        <v/>
      </c>
      <c r="Z97" s="48" t="str">
        <f>IF(ISNUMBER(X97/(U97*V97)*Y97),X97/(U97*V97)*Y97,"")</f>
        <v/>
      </c>
      <c r="AA97" s="49" t="str">
        <f>IF(ISNUMBER(L97),L97,K97)</f>
        <v>--</v>
      </c>
      <c r="AB97" s="48" t="str">
        <f>IF(ISNUMBER(Y97*X97*K97),Y97*X97*K97,"")</f>
        <v/>
      </c>
      <c r="AC97" s="48" t="str">
        <f>IF(C122="Kyllä",Y97,"")</f>
        <v/>
      </c>
      <c r="AD97" s="48" t="str">
        <f>IF(C122="Kyllä",IF(ISNUMBER(X97/(U97*V97)),X97/(U97*V97),""),"")</f>
        <v/>
      </c>
      <c r="AE97" s="48" t="str">
        <f>IF(ISNUMBER(AD97*AC97),AD97*AC97,"")</f>
        <v/>
      </c>
      <c r="AF97" s="49" t="str">
        <f>IF(ISNUMBER(L98),L98,K98)</f>
        <v>--</v>
      </c>
      <c r="AG97" s="48" t="str">
        <f>IF(ISNUMBER(AC97*AD97*K98),AC97*AD97*K98,"")</f>
        <v/>
      </c>
      <c r="AH97" s="46">
        <f>IF(T97="Jakelukuorma-auto",0,IF(T97="Maansiirtoauto",4,IF(T97="Puoliperävaunu",6,8)))</f>
        <v>8</v>
      </c>
      <c r="AI97" s="46">
        <f>IF(AND(T97="Jakelukuorma-auto",U97=6),0,IF(AND(T97="Jakelukuorma-auto",U97=15),2,0))</f>
        <v>0</v>
      </c>
      <c r="AJ97" s="46">
        <f>IF(W97="maantieajo",0,1)</f>
        <v>1</v>
      </c>
      <c r="AK97" s="104"/>
      <c r="AL97" s="35"/>
      <c r="AM97" s="35"/>
      <c r="AN97" s="36"/>
      <c r="AO97" s="36"/>
      <c r="AP97" s="36"/>
      <c r="AQ97" s="36"/>
      <c r="AR97" s="36"/>
      <c r="AS97" s="36"/>
      <c r="AT97" s="36"/>
      <c r="AU97" s="36"/>
      <c r="AV97" s="36"/>
      <c r="AW97" s="36"/>
      <c r="AX97" s="36"/>
      <c r="AY97" s="36"/>
      <c r="AZ97" s="36"/>
      <c r="BA97" s="36"/>
      <c r="BB97" s="36"/>
      <c r="BC97" s="36"/>
      <c r="BD97" s="36"/>
      <c r="BE97" s="36"/>
      <c r="BF97" s="104"/>
      <c r="BG97" s="104"/>
    </row>
    <row r="98" spans="2:59" s="30" customFormat="1" ht="30" x14ac:dyDescent="0.2">
      <c r="B98" s="166" t="s">
        <v>463</v>
      </c>
      <c r="C98" s="471" t="s">
        <v>298</v>
      </c>
      <c r="D98" s="472"/>
      <c r="E98" s="472"/>
      <c r="F98" s="472"/>
      <c r="G98" s="473"/>
      <c r="H98" s="81"/>
      <c r="I98" s="81"/>
      <c r="J98" s="32" t="s">
        <v>396</v>
      </c>
      <c r="K98" s="92" t="str">
        <f>IFERROR(IF(ISNUMBER(L98),L98,IF($C$122="Ei","",VLOOKUP(C98,Kalusto!$C$45:$U$84,19,FALSE)*VLOOKUP(C99,Muut!$D$40:$E$43,2,FALSE))),"--")</f>
        <v>--</v>
      </c>
      <c r="L98" s="39"/>
      <c r="M98" s="40" t="s">
        <v>188</v>
      </c>
      <c r="N98" s="40"/>
      <c r="O98" s="259"/>
      <c r="P98" s="143"/>
      <c r="Q98" s="101"/>
      <c r="R98" s="35"/>
      <c r="S98" s="35"/>
      <c r="T98" s="35"/>
      <c r="U98" s="35"/>
      <c r="V98" s="35"/>
      <c r="W98" s="35"/>
      <c r="X98" s="35"/>
      <c r="Y98" s="35"/>
      <c r="Z98" s="35"/>
      <c r="AA98" s="35"/>
      <c r="AB98" s="35"/>
      <c r="AC98" s="35"/>
      <c r="AD98" s="35"/>
      <c r="AE98" s="35"/>
      <c r="AF98" s="35"/>
      <c r="AG98" s="35"/>
      <c r="AH98" s="35"/>
      <c r="AI98" s="35"/>
      <c r="AJ98" s="35"/>
      <c r="AK98" s="104"/>
      <c r="AL98" s="35"/>
      <c r="AM98" s="35"/>
      <c r="AN98" s="36"/>
      <c r="AO98" s="36"/>
      <c r="AP98" s="36"/>
      <c r="AQ98" s="36"/>
      <c r="AR98" s="36"/>
      <c r="AS98" s="36"/>
      <c r="AT98" s="36"/>
      <c r="AU98" s="36"/>
      <c r="AV98" s="36"/>
      <c r="AW98" s="36"/>
      <c r="AX98" s="36"/>
      <c r="AY98" s="36"/>
      <c r="AZ98" s="36"/>
      <c r="BA98" s="36"/>
      <c r="BB98" s="36"/>
      <c r="BC98" s="36"/>
      <c r="BD98" s="36"/>
      <c r="BE98" s="36"/>
      <c r="BF98" s="104"/>
      <c r="BG98" s="104"/>
    </row>
    <row r="99" spans="2:59" s="30" customFormat="1" ht="15" x14ac:dyDescent="0.2">
      <c r="B99" s="182" t="s">
        <v>457</v>
      </c>
      <c r="C99" s="156" t="s">
        <v>309</v>
      </c>
      <c r="D99" s="33"/>
      <c r="E99" s="33"/>
      <c r="F99" s="33"/>
      <c r="G99" s="33"/>
      <c r="H99" s="57"/>
      <c r="J99" s="169"/>
      <c r="K99" s="169"/>
      <c r="L99" s="169"/>
      <c r="M99" s="40"/>
      <c r="N99" s="40"/>
      <c r="O99" s="259"/>
      <c r="Q99" s="45"/>
      <c r="R99" s="98"/>
      <c r="S99" s="98"/>
      <c r="T99" s="35"/>
      <c r="U99" s="35"/>
      <c r="V99" s="177"/>
      <c r="W99" s="177"/>
      <c r="X99" s="59"/>
      <c r="Y99" s="35"/>
      <c r="Z99" s="59"/>
      <c r="AA99" s="178"/>
      <c r="AB99" s="59"/>
      <c r="AC99" s="59"/>
      <c r="AD99" s="59"/>
      <c r="AE99" s="59"/>
      <c r="AF99" s="178"/>
      <c r="AG99" s="59"/>
      <c r="AH99" s="35"/>
      <c r="AI99" s="35"/>
      <c r="AJ99" s="35"/>
      <c r="AK99" s="104"/>
      <c r="AL99" s="35"/>
      <c r="AM99" s="35"/>
      <c r="AN99" s="36"/>
      <c r="AO99" s="36"/>
      <c r="AP99" s="36"/>
      <c r="AQ99" s="36"/>
      <c r="AR99" s="36"/>
      <c r="AS99" s="36"/>
      <c r="AT99" s="36"/>
      <c r="AU99" s="36"/>
      <c r="AV99" s="36"/>
      <c r="AW99" s="36"/>
      <c r="AX99" s="36"/>
      <c r="AY99" s="36"/>
      <c r="AZ99" s="36"/>
      <c r="BA99" s="36"/>
      <c r="BB99" s="36"/>
      <c r="BC99" s="36"/>
      <c r="BD99" s="36"/>
      <c r="BE99" s="36"/>
    </row>
    <row r="100" spans="2:59" s="30" customFormat="1" ht="15" x14ac:dyDescent="0.2">
      <c r="B100" s="44" t="s">
        <v>474</v>
      </c>
      <c r="C100" s="158"/>
      <c r="D100" s="81" t="s">
        <v>5</v>
      </c>
      <c r="G100" s="33"/>
      <c r="H100" s="81"/>
      <c r="I100" s="81"/>
      <c r="J100" s="32"/>
      <c r="K100" s="33"/>
      <c r="L100" s="33"/>
      <c r="M100" s="81"/>
      <c r="N100" s="81"/>
      <c r="O100" s="96"/>
      <c r="P100" s="146"/>
      <c r="Q100" s="101"/>
      <c r="R100" s="35"/>
      <c r="S100" s="35"/>
      <c r="T100" s="35"/>
      <c r="U100" s="35"/>
      <c r="V100" s="35"/>
      <c r="W100" s="35"/>
      <c r="X100" s="35"/>
      <c r="Y100" s="35"/>
      <c r="Z100" s="35"/>
      <c r="AA100" s="35"/>
      <c r="AB100" s="35"/>
      <c r="AC100" s="35"/>
      <c r="AD100" s="35"/>
      <c r="AE100" s="35"/>
      <c r="AF100" s="35"/>
      <c r="AG100" s="35"/>
      <c r="AH100" s="35"/>
      <c r="AI100" s="35"/>
      <c r="AJ100" s="35"/>
      <c r="AK100" s="104"/>
      <c r="AL100" s="35"/>
      <c r="AM100" s="35"/>
      <c r="AN100" s="36"/>
      <c r="AO100" s="36"/>
      <c r="AP100" s="36"/>
      <c r="AQ100" s="36"/>
      <c r="AR100" s="36"/>
      <c r="AS100" s="36"/>
      <c r="AT100" s="36"/>
      <c r="AU100" s="36"/>
      <c r="AV100" s="36"/>
      <c r="AW100" s="36"/>
      <c r="AX100" s="36"/>
      <c r="AY100" s="36"/>
      <c r="AZ100" s="36"/>
      <c r="BA100" s="36"/>
      <c r="BB100" s="36"/>
      <c r="BC100" s="36"/>
      <c r="BD100" s="36"/>
      <c r="BE100" s="36"/>
      <c r="BF100" s="104"/>
      <c r="BG100" s="104"/>
    </row>
    <row r="101" spans="2:59" s="30" customFormat="1" ht="15.75" x14ac:dyDescent="0.2">
      <c r="B101" s="91" t="str">
        <f>IF(LEFT(B87,6)="Murske","Murske",B87)</f>
        <v>Murske</v>
      </c>
      <c r="C101" s="33"/>
      <c r="D101" s="81"/>
      <c r="G101" s="33"/>
      <c r="H101" s="81"/>
      <c r="I101" s="81"/>
      <c r="J101" s="32"/>
      <c r="K101" s="37" t="s">
        <v>297</v>
      </c>
      <c r="L101" s="37" t="s">
        <v>185</v>
      </c>
      <c r="M101" s="83"/>
      <c r="N101" s="83"/>
      <c r="O101" s="260"/>
      <c r="P101" s="144"/>
      <c r="Q101" s="36"/>
      <c r="R101" s="35" t="s">
        <v>318</v>
      </c>
      <c r="S101" s="35"/>
      <c r="T101" s="35" t="s">
        <v>400</v>
      </c>
      <c r="U101" s="35" t="s">
        <v>399</v>
      </c>
      <c r="V101" s="43" t="s">
        <v>397</v>
      </c>
      <c r="W101" s="35" t="s">
        <v>398</v>
      </c>
      <c r="X101" s="43" t="s">
        <v>401</v>
      </c>
      <c r="Y101" s="43" t="s">
        <v>403</v>
      </c>
      <c r="Z101" s="43" t="s">
        <v>402</v>
      </c>
      <c r="AA101" s="43" t="s">
        <v>186</v>
      </c>
      <c r="AB101" s="43" t="s">
        <v>345</v>
      </c>
      <c r="AC101" s="43" t="s">
        <v>404</v>
      </c>
      <c r="AD101" s="43" t="s">
        <v>346</v>
      </c>
      <c r="AE101" s="43" t="s">
        <v>405</v>
      </c>
      <c r="AF101" s="43" t="s">
        <v>406</v>
      </c>
      <c r="AG101" s="43" t="s">
        <v>578</v>
      </c>
      <c r="AH101" s="35" t="s">
        <v>190</v>
      </c>
      <c r="AI101" s="35" t="s">
        <v>249</v>
      </c>
      <c r="AJ101" s="35" t="s">
        <v>191</v>
      </c>
      <c r="AK101" s="104"/>
      <c r="AL101" s="35"/>
      <c r="AM101" s="35"/>
      <c r="AN101" s="36"/>
      <c r="AO101" s="36"/>
      <c r="AP101" s="36"/>
      <c r="AQ101" s="36"/>
      <c r="AR101" s="36"/>
      <c r="AS101" s="36"/>
      <c r="AT101" s="36"/>
      <c r="AU101" s="36"/>
      <c r="AV101" s="36"/>
      <c r="AW101" s="36"/>
      <c r="AX101" s="36"/>
      <c r="AY101" s="36"/>
      <c r="AZ101" s="36"/>
      <c r="BA101" s="36"/>
      <c r="BB101" s="36"/>
      <c r="BC101" s="36"/>
      <c r="BD101" s="36"/>
      <c r="BE101" s="36"/>
      <c r="BF101" s="104"/>
      <c r="BG101" s="104"/>
    </row>
    <row r="102" spans="2:59" s="30" customFormat="1" ht="30" x14ac:dyDescent="0.2">
      <c r="B102" s="44" t="s">
        <v>475</v>
      </c>
      <c r="C102" s="171" t="str">
        <f>IF(ISNUMBER(C87),C87,"")</f>
        <v/>
      </c>
      <c r="D102" s="109" t="str">
        <f>D87</f>
        <v>m3ktr</v>
      </c>
      <c r="G102" s="108">
        <f>IF(ISNUMBER(G87),G87,"")</f>
        <v>1.7</v>
      </c>
      <c r="H102" s="81" t="str">
        <f>IF(D102="t","t/t","t/m3")</f>
        <v>t/m3</v>
      </c>
      <c r="I102" s="81"/>
      <c r="J102" s="169" t="s">
        <v>395</v>
      </c>
      <c r="K102" s="92" t="str">
        <f>IFERROR(IF(ISNUMBER(L102),L102,(VLOOKUP(C103,Kalusto!$C$45:$G$84,5,FALSE)*VLOOKUP(C104,Muut!$D$40:$E$43,2,FALSE))),"--")</f>
        <v>--</v>
      </c>
      <c r="L102" s="39"/>
      <c r="M102" s="40" t="s">
        <v>184</v>
      </c>
      <c r="N102" s="40"/>
      <c r="O102" s="259"/>
      <c r="P102" s="145"/>
      <c r="Q102" s="100"/>
      <c r="R102" s="48" t="str">
        <f>IF(AND(NOT(ISNUMBER(AB102)),NOT(ISNUMBER(AG102))),"",IF(ISNUMBER(AB102),AB102,0)+IF(ISNUMBER(AG102),AG102,0))</f>
        <v/>
      </c>
      <c r="S102" s="98" t="s">
        <v>160</v>
      </c>
      <c r="T102" s="46" t="str">
        <f>IFERROR(IF(ISNUMBER(L102),"Kohdetieto",VLOOKUP(C103,Kalusto!$C$45:$L$84,7,FALSE)),"--")</f>
        <v>--</v>
      </c>
      <c r="U102" s="46" t="str">
        <f>IFERROR(IF(ISNUMBER(L102),"Kohdetieto",VLOOKUP(C103,Kalusto!$C$45:$L$84,8,FALSE)),"--")</f>
        <v>--</v>
      </c>
      <c r="V102" s="47" t="str">
        <f>IFERROR(IF(ISNUMBER(L102),"Kohdetieto",VLOOKUP(C103,Kalusto!$C$45:$L$84,9,FALSE)),"--")</f>
        <v>--</v>
      </c>
      <c r="W102" s="47" t="str">
        <f>IFERROR(IF(ISNUMBER(L102),"Kohdetieto",VLOOKUP(C103,Kalusto!$C$45:$L$84,10,FALSE)),"--")</f>
        <v>--</v>
      </c>
      <c r="X102" s="48" t="str">
        <f>IF(ISBLANK(C102),"",IF(D102="t",C102,IF(ISNUMBER(C102*G102),C102*G102,"")))</f>
        <v/>
      </c>
      <c r="Y102" s="46" t="str">
        <f>IF(ISNUMBER(C105),C105,"")</f>
        <v/>
      </c>
      <c r="Z102" s="48" t="str">
        <f>IF(ISNUMBER(X102/(U102*V102)*Y102),X102/(U102*V102)*Y102,"")</f>
        <v/>
      </c>
      <c r="AA102" s="49" t="str">
        <f>IF(ISNUMBER(L102),L102,K102)</f>
        <v>--</v>
      </c>
      <c r="AB102" s="48" t="str">
        <f>IF(ISNUMBER(Y102*X102*K102),Y102*X102*K102,"")</f>
        <v/>
      </c>
      <c r="AC102" s="48" t="str">
        <f>IF(C122="Kyllä",Y102,"")</f>
        <v/>
      </c>
      <c r="AD102" s="48" t="str">
        <f>IF(C122="Kyllä",IF(ISNUMBER(X102/(U102*V102)),X102/(U102*V102),""),"")</f>
        <v/>
      </c>
      <c r="AE102" s="48" t="str">
        <f>IF(ISNUMBER(AD102*AC102),AD102*AC102,"")</f>
        <v/>
      </c>
      <c r="AF102" s="49" t="str">
        <f>IF(ISNUMBER(L103),L103,K103)</f>
        <v>--</v>
      </c>
      <c r="AG102" s="48" t="str">
        <f>IF(ISNUMBER(AC102*AD102*K103),AC102*AD102*K103,"")</f>
        <v/>
      </c>
      <c r="AH102" s="46">
        <f>IF(T102="Jakelukuorma-auto",0,IF(T102="Maansiirtoauto",4,IF(T102="Puoliperävaunu",6,8)))</f>
        <v>8</v>
      </c>
      <c r="AI102" s="46">
        <f>IF(AND(T102="Jakelukuorma-auto",U102=6),0,IF(AND(T102="Jakelukuorma-auto",U102=15),2,0))</f>
        <v>0</v>
      </c>
      <c r="AJ102" s="46">
        <f>IF(W102="maantieajo",0,1)</f>
        <v>1</v>
      </c>
      <c r="AK102" s="104"/>
      <c r="AL102" s="35"/>
      <c r="AM102" s="35"/>
      <c r="AN102" s="36"/>
      <c r="AO102" s="36"/>
      <c r="AP102" s="36"/>
      <c r="AQ102" s="36"/>
      <c r="AR102" s="36"/>
      <c r="AS102" s="36"/>
      <c r="AT102" s="36"/>
      <c r="AU102" s="36"/>
      <c r="AV102" s="36"/>
      <c r="AW102" s="36"/>
      <c r="AX102" s="36"/>
      <c r="AY102" s="36"/>
      <c r="AZ102" s="36"/>
      <c r="BA102" s="36"/>
      <c r="BB102" s="36"/>
      <c r="BC102" s="36"/>
      <c r="BD102" s="36"/>
      <c r="BE102" s="36"/>
      <c r="BF102" s="104"/>
      <c r="BG102" s="104"/>
    </row>
    <row r="103" spans="2:59" s="30" customFormat="1" ht="30" x14ac:dyDescent="0.2">
      <c r="B103" s="166" t="s">
        <v>463</v>
      </c>
      <c r="C103" s="471" t="s">
        <v>298</v>
      </c>
      <c r="D103" s="472"/>
      <c r="E103" s="472"/>
      <c r="F103" s="472"/>
      <c r="G103" s="473"/>
      <c r="H103" s="81"/>
      <c r="I103" s="81"/>
      <c r="J103" s="32" t="s">
        <v>396</v>
      </c>
      <c r="K103" s="92" t="str">
        <f>IFERROR(IF(ISNUMBER(L103),L103,IF($C$122="Ei","",VLOOKUP(C103,Kalusto!$C$45:$U$84,19,FALSE)*VLOOKUP(C104,Muut!$D$40:$E$43,2,FALSE))),"--")</f>
        <v>--</v>
      </c>
      <c r="L103" s="39"/>
      <c r="M103" s="40" t="s">
        <v>188</v>
      </c>
      <c r="N103" s="40"/>
      <c r="O103" s="259"/>
      <c r="P103" s="143"/>
      <c r="Q103" s="101"/>
      <c r="R103" s="35"/>
      <c r="S103" s="35"/>
      <c r="T103" s="35"/>
      <c r="U103" s="35"/>
      <c r="V103" s="35"/>
      <c r="W103" s="35"/>
      <c r="X103" s="35"/>
      <c r="Y103" s="35"/>
      <c r="Z103" s="35"/>
      <c r="AA103" s="35"/>
      <c r="AB103" s="35"/>
      <c r="AC103" s="35"/>
      <c r="AD103" s="35"/>
      <c r="AE103" s="35"/>
      <c r="AF103" s="35"/>
      <c r="AG103" s="35"/>
      <c r="AH103" s="35"/>
      <c r="AI103" s="35"/>
      <c r="AJ103" s="35"/>
      <c r="AK103" s="104"/>
      <c r="AL103" s="35"/>
      <c r="AM103" s="35"/>
      <c r="AN103" s="36"/>
      <c r="AO103" s="36"/>
      <c r="AP103" s="36"/>
      <c r="AQ103" s="36"/>
      <c r="AR103" s="36"/>
      <c r="AS103" s="36"/>
      <c r="AT103" s="36"/>
      <c r="AU103" s="36"/>
      <c r="AV103" s="36"/>
      <c r="AW103" s="36"/>
      <c r="AX103" s="36"/>
      <c r="AY103" s="36"/>
      <c r="AZ103" s="36"/>
      <c r="BA103" s="36"/>
      <c r="BB103" s="36"/>
      <c r="BC103" s="36"/>
      <c r="BD103" s="36"/>
      <c r="BE103" s="36"/>
      <c r="BF103" s="104"/>
      <c r="BG103" s="104"/>
    </row>
    <row r="104" spans="2:59" s="30" customFormat="1" ht="15" x14ac:dyDescent="0.2">
      <c r="B104" s="182" t="s">
        <v>457</v>
      </c>
      <c r="C104" s="156" t="s">
        <v>309</v>
      </c>
      <c r="D104" s="33"/>
      <c r="E104" s="33"/>
      <c r="F104" s="33"/>
      <c r="G104" s="33"/>
      <c r="H104" s="57"/>
      <c r="J104" s="169"/>
      <c r="K104" s="169"/>
      <c r="L104" s="169"/>
      <c r="M104" s="40"/>
      <c r="N104" s="40"/>
      <c r="O104" s="259"/>
      <c r="Q104" s="45"/>
      <c r="R104" s="98"/>
      <c r="S104" s="98"/>
      <c r="T104" s="35"/>
      <c r="U104" s="35"/>
      <c r="V104" s="177"/>
      <c r="W104" s="177"/>
      <c r="X104" s="59"/>
      <c r="Y104" s="35"/>
      <c r="Z104" s="59"/>
      <c r="AA104" s="178"/>
      <c r="AB104" s="59"/>
      <c r="AC104" s="59"/>
      <c r="AD104" s="59"/>
      <c r="AE104" s="59"/>
      <c r="AF104" s="178"/>
      <c r="AG104" s="59"/>
      <c r="AH104" s="35"/>
      <c r="AI104" s="35"/>
      <c r="AJ104" s="35"/>
      <c r="AK104" s="104"/>
      <c r="AL104" s="35"/>
      <c r="AM104" s="35"/>
      <c r="AN104" s="36"/>
      <c r="AO104" s="36"/>
      <c r="AP104" s="36"/>
      <c r="AQ104" s="36"/>
      <c r="AR104" s="36"/>
      <c r="AS104" s="36"/>
      <c r="AT104" s="36"/>
      <c r="AU104" s="36"/>
      <c r="AV104" s="36"/>
      <c r="AW104" s="36"/>
      <c r="AX104" s="36"/>
      <c r="AY104" s="36"/>
      <c r="AZ104" s="36"/>
      <c r="BA104" s="36"/>
      <c r="BB104" s="36"/>
      <c r="BC104" s="36"/>
      <c r="BD104" s="36"/>
      <c r="BE104" s="36"/>
    </row>
    <row r="105" spans="2:59" s="30" customFormat="1" ht="15" x14ac:dyDescent="0.2">
      <c r="B105" s="44" t="s">
        <v>474</v>
      </c>
      <c r="C105" s="158"/>
      <c r="D105" s="81" t="s">
        <v>5</v>
      </c>
      <c r="G105" s="33"/>
      <c r="H105" s="81"/>
      <c r="I105" s="81"/>
      <c r="J105" s="32"/>
      <c r="K105" s="33"/>
      <c r="L105" s="33"/>
      <c r="M105" s="81"/>
      <c r="N105" s="81"/>
      <c r="O105" s="96"/>
      <c r="P105" s="146"/>
      <c r="Q105" s="101"/>
      <c r="R105" s="35"/>
      <c r="S105" s="35"/>
      <c r="T105" s="35"/>
      <c r="U105" s="35"/>
      <c r="V105" s="35"/>
      <c r="W105" s="35"/>
      <c r="X105" s="35"/>
      <c r="Y105" s="35"/>
      <c r="Z105" s="35"/>
      <c r="AA105" s="35"/>
      <c r="AB105" s="35"/>
      <c r="AC105" s="35"/>
      <c r="AD105" s="35"/>
      <c r="AE105" s="35"/>
      <c r="AF105" s="35"/>
      <c r="AG105" s="35"/>
      <c r="AH105" s="35"/>
      <c r="AI105" s="35"/>
      <c r="AJ105" s="35"/>
      <c r="AK105" s="104"/>
      <c r="AL105" s="35"/>
      <c r="AM105" s="35"/>
      <c r="AN105" s="36"/>
      <c r="AO105" s="36"/>
      <c r="AP105" s="36"/>
      <c r="AQ105" s="36"/>
      <c r="AR105" s="36"/>
      <c r="AS105" s="36"/>
      <c r="AT105" s="36"/>
      <c r="AU105" s="36"/>
      <c r="AV105" s="36"/>
      <c r="AW105" s="36"/>
      <c r="AX105" s="36"/>
      <c r="AY105" s="36"/>
      <c r="AZ105" s="36"/>
      <c r="BA105" s="36"/>
      <c r="BB105" s="36"/>
      <c r="BC105" s="36"/>
      <c r="BD105" s="36"/>
      <c r="BE105" s="36"/>
      <c r="BF105" s="104"/>
      <c r="BG105" s="104"/>
    </row>
    <row r="106" spans="2:59" s="30" customFormat="1" ht="15.75" x14ac:dyDescent="0.2">
      <c r="B106" s="91" t="str">
        <f>IF(LEFT(B88,4)="Sora","Sora",B88)</f>
        <v>Sora</v>
      </c>
      <c r="C106" s="33"/>
      <c r="D106" s="81"/>
      <c r="G106" s="33"/>
      <c r="H106" s="81"/>
      <c r="I106" s="81"/>
      <c r="J106" s="32"/>
      <c r="K106" s="37" t="s">
        <v>297</v>
      </c>
      <c r="L106" s="37" t="s">
        <v>185</v>
      </c>
      <c r="M106" s="83"/>
      <c r="N106" s="83"/>
      <c r="O106" s="260"/>
      <c r="P106" s="144"/>
      <c r="Q106" s="36"/>
      <c r="R106" s="35" t="s">
        <v>318</v>
      </c>
      <c r="S106" s="35"/>
      <c r="T106" s="35" t="s">
        <v>400</v>
      </c>
      <c r="U106" s="35" t="s">
        <v>399</v>
      </c>
      <c r="V106" s="43" t="s">
        <v>397</v>
      </c>
      <c r="W106" s="35" t="s">
        <v>398</v>
      </c>
      <c r="X106" s="43" t="s">
        <v>401</v>
      </c>
      <c r="Y106" s="43" t="s">
        <v>403</v>
      </c>
      <c r="Z106" s="43" t="s">
        <v>402</v>
      </c>
      <c r="AA106" s="43" t="s">
        <v>186</v>
      </c>
      <c r="AB106" s="43" t="s">
        <v>345</v>
      </c>
      <c r="AC106" s="43" t="s">
        <v>404</v>
      </c>
      <c r="AD106" s="43" t="s">
        <v>346</v>
      </c>
      <c r="AE106" s="43" t="s">
        <v>405</v>
      </c>
      <c r="AF106" s="43" t="s">
        <v>406</v>
      </c>
      <c r="AG106" s="43" t="s">
        <v>578</v>
      </c>
      <c r="AH106" s="35" t="s">
        <v>190</v>
      </c>
      <c r="AI106" s="35" t="s">
        <v>249</v>
      </c>
      <c r="AJ106" s="35" t="s">
        <v>191</v>
      </c>
      <c r="AK106" s="104"/>
      <c r="AL106" s="35"/>
      <c r="AM106" s="35"/>
      <c r="AN106" s="36"/>
      <c r="AO106" s="36"/>
      <c r="AP106" s="36"/>
      <c r="AQ106" s="36"/>
      <c r="AR106" s="36"/>
      <c r="AS106" s="36"/>
      <c r="AT106" s="36"/>
      <c r="AU106" s="36"/>
      <c r="AV106" s="36"/>
      <c r="AW106" s="36"/>
      <c r="AX106" s="36"/>
      <c r="AY106" s="36"/>
      <c r="AZ106" s="36"/>
      <c r="BA106" s="36"/>
      <c r="BB106" s="36"/>
      <c r="BC106" s="36"/>
      <c r="BD106" s="36"/>
      <c r="BE106" s="36"/>
      <c r="BF106" s="104"/>
      <c r="BG106" s="104"/>
    </row>
    <row r="107" spans="2:59" s="30" customFormat="1" ht="30" x14ac:dyDescent="0.2">
      <c r="B107" s="44" t="s">
        <v>475</v>
      </c>
      <c r="C107" s="171" t="str">
        <f>IF(ISNUMBER(C88),C88,"")</f>
        <v/>
      </c>
      <c r="D107" s="109" t="str">
        <f>D88</f>
        <v>m3ktr</v>
      </c>
      <c r="G107" s="108">
        <f>IF(ISNUMBER(G88),G88,"")</f>
        <v>1.7</v>
      </c>
      <c r="H107" s="81" t="str">
        <f>IF(D107="t","t/t","t/m3")</f>
        <v>t/m3</v>
      </c>
      <c r="I107" s="81"/>
      <c r="J107" s="169" t="s">
        <v>395</v>
      </c>
      <c r="K107" s="92" t="str">
        <f>IFERROR(IF(ISNUMBER(L107),L107,(VLOOKUP(C108,Kalusto!$C$45:$G$84,5,FALSE)*VLOOKUP(C109,Muut!$D$40:$E$43,2,FALSE))),"--")</f>
        <v>--</v>
      </c>
      <c r="L107" s="39"/>
      <c r="M107" s="40" t="s">
        <v>184</v>
      </c>
      <c r="N107" s="40"/>
      <c r="O107" s="259"/>
      <c r="P107" s="145"/>
      <c r="Q107" s="100"/>
      <c r="R107" s="48" t="str">
        <f>IF(AND(NOT(ISNUMBER(AB107)),NOT(ISNUMBER(AG107))),"",IF(ISNUMBER(AB107),AB107,0)+IF(ISNUMBER(AG107),AG107,0))</f>
        <v/>
      </c>
      <c r="S107" s="98" t="s">
        <v>160</v>
      </c>
      <c r="T107" s="46" t="str">
        <f>IFERROR(IF(ISNUMBER(L107),"Kohdetieto",VLOOKUP(C108,Kalusto!$C$45:$L$84,7,FALSE)),"--")</f>
        <v>--</v>
      </c>
      <c r="U107" s="46" t="str">
        <f>IFERROR(IF(ISNUMBER(L107),"Kohdetieto",VLOOKUP(C108,Kalusto!$C$45:$L$84,8,FALSE)),"--")</f>
        <v>--</v>
      </c>
      <c r="V107" s="47" t="str">
        <f>IFERROR(IF(ISNUMBER(L107),"Kohdetieto",VLOOKUP(C108,Kalusto!$C$45:$L$84,9,FALSE)),"--")</f>
        <v>--</v>
      </c>
      <c r="W107" s="47" t="str">
        <f>IFERROR(IF(ISNUMBER(L107),"Kohdetieto",VLOOKUP(C108,Kalusto!$C$45:$L$84,10,FALSE)),"--")</f>
        <v>--</v>
      </c>
      <c r="X107" s="48" t="str">
        <f>IF(ISBLANK(C107),"",IF(D107="t",C107,IF(ISNUMBER(C107*G107),C107*G107,"")))</f>
        <v/>
      </c>
      <c r="Y107" s="46" t="str">
        <f>IF(ISNUMBER(C110),C110,"")</f>
        <v/>
      </c>
      <c r="Z107" s="48" t="str">
        <f>IF(ISNUMBER(X107/(U107*V107)*Y107),X107/(U107*V107)*Y107,"")</f>
        <v/>
      </c>
      <c r="AA107" s="49" t="str">
        <f>IF(ISNUMBER(L107),L107,K107)</f>
        <v>--</v>
      </c>
      <c r="AB107" s="48" t="str">
        <f>IF(ISNUMBER(Y107*X107*K107),Y107*X107*K107,"")</f>
        <v/>
      </c>
      <c r="AC107" s="48" t="str">
        <f>IF(C122="Kyllä",Y107,"")</f>
        <v/>
      </c>
      <c r="AD107" s="48" t="str">
        <f>IF(C122="Kyllä",IF(ISNUMBER(X107/(U107*V107)),X107/(U107*V107),""),"")</f>
        <v/>
      </c>
      <c r="AE107" s="48" t="str">
        <f>IF(ISNUMBER(AD107*AC107),AD107*AC107,"")</f>
        <v/>
      </c>
      <c r="AF107" s="49" t="str">
        <f>IF(ISNUMBER(L108),L108,K108)</f>
        <v>--</v>
      </c>
      <c r="AG107" s="48" t="str">
        <f>IF(ISNUMBER(AC107*AD107*K108),AC107*AD107*K108,"")</f>
        <v/>
      </c>
      <c r="AH107" s="46">
        <f>IF(T107="Jakelukuorma-auto",0,IF(T107="Maansiirtoauto",4,IF(T107="Puoliperävaunu",6,8)))</f>
        <v>8</v>
      </c>
      <c r="AI107" s="46">
        <f>IF(AND(T107="Jakelukuorma-auto",U107=6),0,IF(AND(T107="Jakelukuorma-auto",U107=15),2,0))</f>
        <v>0</v>
      </c>
      <c r="AJ107" s="46">
        <f>IF(W107="maantieajo",0,1)</f>
        <v>1</v>
      </c>
      <c r="AK107" s="104"/>
      <c r="AL107" s="35"/>
      <c r="AM107" s="35"/>
      <c r="AN107" s="36"/>
      <c r="AO107" s="36"/>
      <c r="AP107" s="36"/>
      <c r="AQ107" s="36"/>
      <c r="AR107" s="36"/>
      <c r="AS107" s="36"/>
      <c r="AT107" s="36"/>
      <c r="AU107" s="36"/>
      <c r="AV107" s="36"/>
      <c r="AW107" s="36"/>
      <c r="AX107" s="36"/>
      <c r="AY107" s="36"/>
      <c r="AZ107" s="36"/>
      <c r="BA107" s="36"/>
      <c r="BB107" s="36"/>
      <c r="BC107" s="36"/>
      <c r="BD107" s="36"/>
      <c r="BE107" s="36"/>
      <c r="BF107" s="104"/>
      <c r="BG107" s="104"/>
    </row>
    <row r="108" spans="2:59" s="30" customFormat="1" ht="30" x14ac:dyDescent="0.2">
      <c r="B108" s="166" t="s">
        <v>463</v>
      </c>
      <c r="C108" s="471" t="s">
        <v>298</v>
      </c>
      <c r="D108" s="472"/>
      <c r="E108" s="472"/>
      <c r="F108" s="472"/>
      <c r="G108" s="473"/>
      <c r="H108" s="81"/>
      <c r="I108" s="81"/>
      <c r="J108" s="32" t="s">
        <v>396</v>
      </c>
      <c r="K108" s="92" t="str">
        <f>IFERROR(IF(ISNUMBER(L108),L108,IF($C$122="Ei","",VLOOKUP(C108,Kalusto!$C$45:$U$84,19,FALSE)*VLOOKUP(C109,Muut!$D$40:$E$43,2,FALSE))),"--")</f>
        <v>--</v>
      </c>
      <c r="L108" s="39"/>
      <c r="M108" s="40" t="s">
        <v>188</v>
      </c>
      <c r="N108" s="40"/>
      <c r="O108" s="259"/>
      <c r="P108" s="143"/>
      <c r="Q108" s="101"/>
      <c r="R108" s="35"/>
      <c r="S108" s="35"/>
      <c r="T108" s="35"/>
      <c r="U108" s="35"/>
      <c r="V108" s="35"/>
      <c r="W108" s="35"/>
      <c r="X108" s="35"/>
      <c r="Y108" s="35"/>
      <c r="Z108" s="35"/>
      <c r="AA108" s="35"/>
      <c r="AB108" s="35"/>
      <c r="AC108" s="35"/>
      <c r="AD108" s="35"/>
      <c r="AE108" s="35"/>
      <c r="AF108" s="35"/>
      <c r="AG108" s="35"/>
      <c r="AH108" s="35"/>
      <c r="AI108" s="35"/>
      <c r="AJ108" s="35"/>
      <c r="AK108" s="104"/>
      <c r="AL108" s="35"/>
      <c r="AM108" s="35"/>
      <c r="AN108" s="36"/>
      <c r="AO108" s="36"/>
      <c r="AP108" s="36"/>
      <c r="AQ108" s="36"/>
      <c r="AR108" s="36"/>
      <c r="AS108" s="36"/>
      <c r="AT108" s="36"/>
      <c r="AU108" s="36"/>
      <c r="AV108" s="36"/>
      <c r="AW108" s="36"/>
      <c r="AX108" s="36"/>
      <c r="AY108" s="36"/>
      <c r="AZ108" s="36"/>
      <c r="BA108" s="36"/>
      <c r="BB108" s="36"/>
      <c r="BC108" s="36"/>
      <c r="BD108" s="36"/>
      <c r="BE108" s="36"/>
      <c r="BF108" s="104"/>
      <c r="BG108" s="104"/>
    </row>
    <row r="109" spans="2:59" s="30" customFormat="1" ht="15" x14ac:dyDescent="0.2">
      <c r="B109" s="182" t="s">
        <v>457</v>
      </c>
      <c r="C109" s="156" t="s">
        <v>309</v>
      </c>
      <c r="D109" s="33"/>
      <c r="E109" s="33"/>
      <c r="F109" s="33"/>
      <c r="G109" s="33"/>
      <c r="H109" s="57"/>
      <c r="J109" s="169"/>
      <c r="K109" s="169"/>
      <c r="L109" s="169"/>
      <c r="M109" s="40"/>
      <c r="N109" s="40"/>
      <c r="O109" s="259"/>
      <c r="Q109" s="45"/>
      <c r="R109" s="98"/>
      <c r="S109" s="98"/>
      <c r="T109" s="35"/>
      <c r="U109" s="35"/>
      <c r="V109" s="177"/>
      <c r="W109" s="177"/>
      <c r="X109" s="59"/>
      <c r="Y109" s="35"/>
      <c r="Z109" s="59"/>
      <c r="AA109" s="178"/>
      <c r="AB109" s="59"/>
      <c r="AC109" s="59"/>
      <c r="AD109" s="59"/>
      <c r="AE109" s="59"/>
      <c r="AF109" s="178"/>
      <c r="AG109" s="59"/>
      <c r="AH109" s="35"/>
      <c r="AI109" s="35"/>
      <c r="AJ109" s="35"/>
      <c r="AK109" s="104"/>
      <c r="AL109" s="35"/>
      <c r="AM109" s="35"/>
      <c r="AN109" s="36"/>
      <c r="AO109" s="36"/>
      <c r="AP109" s="36"/>
      <c r="AQ109" s="36"/>
      <c r="AR109" s="36"/>
      <c r="AS109" s="36"/>
      <c r="AT109" s="36"/>
      <c r="AU109" s="36"/>
      <c r="AV109" s="36"/>
      <c r="AW109" s="36"/>
      <c r="AX109" s="36"/>
      <c r="AY109" s="36"/>
      <c r="AZ109" s="36"/>
      <c r="BA109" s="36"/>
      <c r="BB109" s="36"/>
      <c r="BC109" s="36"/>
      <c r="BD109" s="36"/>
      <c r="BE109" s="36"/>
    </row>
    <row r="110" spans="2:59" s="30" customFormat="1" ht="15" x14ac:dyDescent="0.2">
      <c r="B110" s="44" t="s">
        <v>474</v>
      </c>
      <c r="C110" s="158"/>
      <c r="D110" s="81" t="s">
        <v>5</v>
      </c>
      <c r="G110" s="33"/>
      <c r="H110" s="81"/>
      <c r="I110" s="81"/>
      <c r="J110" s="32"/>
      <c r="K110" s="33"/>
      <c r="L110" s="33"/>
      <c r="M110" s="81"/>
      <c r="N110" s="81"/>
      <c r="O110" s="96"/>
      <c r="P110" s="146"/>
      <c r="Q110" s="101"/>
      <c r="R110" s="35"/>
      <c r="S110" s="35"/>
      <c r="T110" s="35"/>
      <c r="U110" s="35"/>
      <c r="V110" s="35"/>
      <c r="W110" s="35"/>
      <c r="X110" s="35"/>
      <c r="Y110" s="35"/>
      <c r="Z110" s="35"/>
      <c r="AA110" s="35"/>
      <c r="AB110" s="35"/>
      <c r="AC110" s="35"/>
      <c r="AD110" s="35"/>
      <c r="AE110" s="35"/>
      <c r="AF110" s="35"/>
      <c r="AG110" s="35"/>
      <c r="AH110" s="35"/>
      <c r="AI110" s="35"/>
      <c r="AJ110" s="35"/>
      <c r="AK110" s="104"/>
      <c r="AL110" s="35"/>
      <c r="AM110" s="35"/>
      <c r="AN110" s="36"/>
      <c r="AO110" s="36"/>
      <c r="AP110" s="36"/>
      <c r="AQ110" s="36"/>
      <c r="AR110" s="36"/>
      <c r="AS110" s="36"/>
      <c r="AT110" s="36"/>
      <c r="AU110" s="36"/>
      <c r="AV110" s="36"/>
      <c r="AW110" s="36"/>
      <c r="AX110" s="36"/>
      <c r="AY110" s="36"/>
      <c r="AZ110" s="36"/>
      <c r="BA110" s="36"/>
      <c r="BB110" s="36"/>
      <c r="BC110" s="36"/>
      <c r="BD110" s="36"/>
      <c r="BE110" s="36"/>
      <c r="BF110" s="104"/>
      <c r="BG110" s="104"/>
    </row>
    <row r="111" spans="2:59" s="30" customFormat="1" ht="15.75" x14ac:dyDescent="0.2">
      <c r="B111" s="91" t="str">
        <f>IF(LEFT(B89,6)="Hiekka","Hiekka",B89)</f>
        <v>Hiekka</v>
      </c>
      <c r="C111" s="33"/>
      <c r="D111" s="81"/>
      <c r="G111" s="33"/>
      <c r="H111" s="81"/>
      <c r="I111" s="81"/>
      <c r="J111" s="32"/>
      <c r="K111" s="37" t="s">
        <v>297</v>
      </c>
      <c r="L111" s="37" t="s">
        <v>185</v>
      </c>
      <c r="M111" s="83"/>
      <c r="N111" s="83"/>
      <c r="O111" s="260"/>
      <c r="P111" s="144"/>
      <c r="Q111" s="36"/>
      <c r="R111" s="35" t="s">
        <v>318</v>
      </c>
      <c r="S111" s="35"/>
      <c r="T111" s="35" t="s">
        <v>400</v>
      </c>
      <c r="U111" s="35" t="s">
        <v>399</v>
      </c>
      <c r="V111" s="43" t="s">
        <v>397</v>
      </c>
      <c r="W111" s="35" t="s">
        <v>398</v>
      </c>
      <c r="X111" s="43" t="s">
        <v>401</v>
      </c>
      <c r="Y111" s="43" t="s">
        <v>403</v>
      </c>
      <c r="Z111" s="43" t="s">
        <v>402</v>
      </c>
      <c r="AA111" s="43" t="s">
        <v>186</v>
      </c>
      <c r="AB111" s="43" t="s">
        <v>345</v>
      </c>
      <c r="AC111" s="43" t="s">
        <v>404</v>
      </c>
      <c r="AD111" s="43" t="s">
        <v>346</v>
      </c>
      <c r="AE111" s="43" t="s">
        <v>405</v>
      </c>
      <c r="AF111" s="43" t="s">
        <v>406</v>
      </c>
      <c r="AG111" s="43" t="s">
        <v>578</v>
      </c>
      <c r="AH111" s="35" t="s">
        <v>190</v>
      </c>
      <c r="AI111" s="35" t="s">
        <v>249</v>
      </c>
      <c r="AJ111" s="35" t="s">
        <v>191</v>
      </c>
      <c r="AK111" s="104"/>
      <c r="AL111" s="35"/>
      <c r="AM111" s="35"/>
      <c r="AN111" s="36"/>
      <c r="AO111" s="36"/>
      <c r="AP111" s="36"/>
      <c r="AQ111" s="36"/>
      <c r="AR111" s="36"/>
      <c r="AS111" s="36"/>
      <c r="AT111" s="36"/>
      <c r="AU111" s="36"/>
      <c r="AV111" s="36"/>
      <c r="AW111" s="36"/>
      <c r="AX111" s="36"/>
      <c r="AY111" s="36"/>
      <c r="AZ111" s="36"/>
      <c r="BA111" s="36"/>
      <c r="BB111" s="36"/>
      <c r="BC111" s="36"/>
      <c r="BD111" s="36"/>
      <c r="BE111" s="36"/>
      <c r="BF111" s="104"/>
      <c r="BG111" s="104"/>
    </row>
    <row r="112" spans="2:59" s="30" customFormat="1" ht="30" x14ac:dyDescent="0.2">
      <c r="B112" s="44" t="s">
        <v>475</v>
      </c>
      <c r="C112" s="171" t="str">
        <f>IF(ISNUMBER(C89),C89,"")</f>
        <v/>
      </c>
      <c r="D112" s="109" t="str">
        <f>D89</f>
        <v>m3ktr</v>
      </c>
      <c r="G112" s="108">
        <f>IF(ISNUMBER(G89),G89,"")</f>
        <v>1.4</v>
      </c>
      <c r="H112" s="81" t="str">
        <f>IF(D112="t","t/t","t/m3")</f>
        <v>t/m3</v>
      </c>
      <c r="I112" s="81"/>
      <c r="J112" s="169" t="s">
        <v>395</v>
      </c>
      <c r="K112" s="92" t="str">
        <f>IFERROR(IF(ISNUMBER(L112),L112,(VLOOKUP(C113,Kalusto!$C$45:$G$84,5,FALSE)*VLOOKUP(C114,Muut!$D$40:$E$43,2,FALSE))),"--")</f>
        <v>--</v>
      </c>
      <c r="L112" s="39"/>
      <c r="M112" s="40" t="s">
        <v>184</v>
      </c>
      <c r="N112" s="40"/>
      <c r="O112" s="259"/>
      <c r="P112" s="145"/>
      <c r="Q112" s="100"/>
      <c r="R112" s="48" t="str">
        <f>IF(AND(NOT(ISNUMBER(AB112)),NOT(ISNUMBER(AG112))),"",IF(ISNUMBER(AB112),AB112,0)+IF(ISNUMBER(AG112),AG112,0))</f>
        <v/>
      </c>
      <c r="S112" s="98" t="s">
        <v>160</v>
      </c>
      <c r="T112" s="46" t="str">
        <f>IFERROR(IF(ISNUMBER(L112),"Kohdetieto",VLOOKUP(C113,Kalusto!$C$45:$L$84,7,FALSE)),"--")</f>
        <v>--</v>
      </c>
      <c r="U112" s="46" t="str">
        <f>IFERROR(IF(ISNUMBER(L112),"Kohdetieto",VLOOKUP(C113,Kalusto!$C$45:$L$84,8,FALSE)),"--")</f>
        <v>--</v>
      </c>
      <c r="V112" s="47" t="str">
        <f>IFERROR(IF(ISNUMBER(L112),"Kohdetieto",VLOOKUP(C113,Kalusto!$C$45:$L$84,9,FALSE)),"--")</f>
        <v>--</v>
      </c>
      <c r="W112" s="47" t="str">
        <f>IFERROR(IF(ISNUMBER(L112),"Kohdetieto",VLOOKUP(C113,Kalusto!$C$45:$L$84,10,FALSE)),"--")</f>
        <v>--</v>
      </c>
      <c r="X112" s="48" t="str">
        <f>IF(ISBLANK(C112),"",IF(D112="t",C112,IF(ISNUMBER(C112*G112),C112*G112,"")))</f>
        <v/>
      </c>
      <c r="Y112" s="46" t="str">
        <f>IF(ISNUMBER(C115),C115,"")</f>
        <v/>
      </c>
      <c r="Z112" s="48" t="str">
        <f>IF(ISNUMBER(X112/(U112*V112)*Y112),X112/(U112*V112)*Y112,"")</f>
        <v/>
      </c>
      <c r="AA112" s="49" t="str">
        <f>IF(ISNUMBER(L112),L112,K112)</f>
        <v>--</v>
      </c>
      <c r="AB112" s="48" t="str">
        <f>IF(ISNUMBER(Y112*X112*K112),Y112*X112*K112,"")</f>
        <v/>
      </c>
      <c r="AC112" s="48" t="str">
        <f>IF(C122="Kyllä",Y112,"")</f>
        <v/>
      </c>
      <c r="AD112" s="48" t="str">
        <f>IF(C122="Kyllä",IF(ISNUMBER(X112/(U112*V112)),X112/(U112*V112),""),"")</f>
        <v/>
      </c>
      <c r="AE112" s="48" t="str">
        <f>IF(ISNUMBER(AD112*AC112),AD112*AC112,"")</f>
        <v/>
      </c>
      <c r="AF112" s="49" t="str">
        <f>IF(ISNUMBER(L113),L113,K113)</f>
        <v>--</v>
      </c>
      <c r="AG112" s="48" t="str">
        <f>IF(ISNUMBER(AC112*AD112*K113),AC112*AD112*K113,"")</f>
        <v/>
      </c>
      <c r="AH112" s="46">
        <f>IF(T112="Jakelukuorma-auto",0,IF(T112="Maansiirtoauto",4,IF(T112="Puoliperävaunu",6,8)))</f>
        <v>8</v>
      </c>
      <c r="AI112" s="46">
        <f>IF(AND(T112="Jakelukuorma-auto",U112=6),0,IF(AND(T112="Jakelukuorma-auto",U112=15),2,0))</f>
        <v>0</v>
      </c>
      <c r="AJ112" s="46">
        <f>IF(W112="maantieajo",0,1)</f>
        <v>1</v>
      </c>
      <c r="AK112" s="104"/>
      <c r="AL112" s="35"/>
      <c r="AM112" s="35"/>
      <c r="AN112" s="36"/>
      <c r="AO112" s="36"/>
      <c r="AP112" s="36"/>
      <c r="AQ112" s="36"/>
      <c r="AR112" s="36"/>
      <c r="AS112" s="36"/>
      <c r="AT112" s="36"/>
      <c r="AU112" s="36"/>
      <c r="AV112" s="36"/>
      <c r="AW112" s="36"/>
      <c r="AX112" s="36"/>
      <c r="AY112" s="36"/>
      <c r="AZ112" s="36"/>
      <c r="BA112" s="36"/>
      <c r="BB112" s="36"/>
      <c r="BC112" s="36"/>
      <c r="BD112" s="36"/>
      <c r="BE112" s="36"/>
      <c r="BF112" s="104"/>
      <c r="BG112" s="104"/>
    </row>
    <row r="113" spans="2:59" s="30" customFormat="1" ht="30" x14ac:dyDescent="0.2">
      <c r="B113" s="166" t="s">
        <v>463</v>
      </c>
      <c r="C113" s="471" t="s">
        <v>298</v>
      </c>
      <c r="D113" s="472"/>
      <c r="E113" s="472"/>
      <c r="F113" s="472"/>
      <c r="G113" s="473"/>
      <c r="H113" s="81"/>
      <c r="I113" s="81"/>
      <c r="J113" s="32" t="s">
        <v>396</v>
      </c>
      <c r="K113" s="92" t="str">
        <f>IFERROR(IF(ISNUMBER(L113),L113,IF($C$122="Ei","",VLOOKUP(C113,Kalusto!$C$45:$U$84,19,FALSE)*VLOOKUP(C114,Muut!$D$40:$E$43,2,FALSE))),"--")</f>
        <v>--</v>
      </c>
      <c r="L113" s="39"/>
      <c r="M113" s="40" t="s">
        <v>188</v>
      </c>
      <c r="N113" s="40"/>
      <c r="O113" s="259"/>
      <c r="P113" s="143"/>
      <c r="Q113" s="101"/>
      <c r="R113" s="35"/>
      <c r="S113" s="35"/>
      <c r="T113" s="35"/>
      <c r="U113" s="35"/>
      <c r="V113" s="35"/>
      <c r="W113" s="35"/>
      <c r="X113" s="35"/>
      <c r="Y113" s="35"/>
      <c r="Z113" s="35"/>
      <c r="AA113" s="35"/>
      <c r="AB113" s="35"/>
      <c r="AC113" s="35"/>
      <c r="AD113" s="35"/>
      <c r="AE113" s="35"/>
      <c r="AF113" s="35"/>
      <c r="AG113" s="35"/>
      <c r="AH113" s="35"/>
      <c r="AI113" s="35"/>
      <c r="AJ113" s="35"/>
      <c r="AK113" s="104"/>
      <c r="AL113" s="35"/>
      <c r="AM113" s="35"/>
      <c r="AN113" s="36"/>
      <c r="AO113" s="36"/>
      <c r="AP113" s="36"/>
      <c r="AQ113" s="36"/>
      <c r="AR113" s="36"/>
      <c r="AS113" s="36"/>
      <c r="AT113" s="36"/>
      <c r="AU113" s="36"/>
      <c r="AV113" s="36"/>
      <c r="AW113" s="36"/>
      <c r="AX113" s="36"/>
      <c r="AY113" s="36"/>
      <c r="AZ113" s="36"/>
      <c r="BA113" s="36"/>
      <c r="BB113" s="36"/>
      <c r="BC113" s="36"/>
      <c r="BD113" s="36"/>
      <c r="BE113" s="36"/>
      <c r="BF113" s="104"/>
      <c r="BG113" s="104"/>
    </row>
    <row r="114" spans="2:59" s="30" customFormat="1" ht="15" x14ac:dyDescent="0.2">
      <c r="B114" s="182" t="s">
        <v>457</v>
      </c>
      <c r="C114" s="156" t="s">
        <v>309</v>
      </c>
      <c r="D114" s="33"/>
      <c r="E114" s="33"/>
      <c r="F114" s="33"/>
      <c r="G114" s="33"/>
      <c r="H114" s="57"/>
      <c r="J114" s="169"/>
      <c r="K114" s="169"/>
      <c r="L114" s="169"/>
      <c r="M114" s="40"/>
      <c r="N114" s="40"/>
      <c r="O114" s="259"/>
      <c r="Q114" s="45"/>
      <c r="R114" s="98"/>
      <c r="S114" s="98"/>
      <c r="T114" s="35"/>
      <c r="U114" s="35"/>
      <c r="V114" s="177"/>
      <c r="W114" s="177"/>
      <c r="X114" s="59"/>
      <c r="Y114" s="35"/>
      <c r="Z114" s="59"/>
      <c r="AA114" s="178"/>
      <c r="AB114" s="59"/>
      <c r="AC114" s="59"/>
      <c r="AD114" s="59"/>
      <c r="AE114" s="59"/>
      <c r="AF114" s="178"/>
      <c r="AG114" s="59"/>
      <c r="AH114" s="35"/>
      <c r="AI114" s="35"/>
      <c r="AJ114" s="35"/>
      <c r="AK114" s="104"/>
      <c r="AL114" s="35"/>
      <c r="AM114" s="35"/>
      <c r="AN114" s="36"/>
      <c r="AO114" s="36"/>
      <c r="AP114" s="36"/>
      <c r="AQ114" s="36"/>
      <c r="AR114" s="36"/>
      <c r="AS114" s="36"/>
      <c r="AT114" s="36"/>
      <c r="AU114" s="36"/>
      <c r="AV114" s="36"/>
      <c r="AW114" s="36"/>
      <c r="AX114" s="36"/>
      <c r="AY114" s="36"/>
      <c r="AZ114" s="36"/>
      <c r="BA114" s="36"/>
      <c r="BB114" s="36"/>
      <c r="BC114" s="36"/>
      <c r="BD114" s="36"/>
      <c r="BE114" s="36"/>
    </row>
    <row r="115" spans="2:59" s="30" customFormat="1" ht="15" x14ac:dyDescent="0.2">
      <c r="B115" s="44" t="s">
        <v>474</v>
      </c>
      <c r="C115" s="158"/>
      <c r="D115" s="81" t="s">
        <v>5</v>
      </c>
      <c r="G115" s="33"/>
      <c r="H115" s="81"/>
      <c r="I115" s="81"/>
      <c r="J115" s="32"/>
      <c r="K115" s="33"/>
      <c r="L115" s="33"/>
      <c r="M115" s="81"/>
      <c r="N115" s="81"/>
      <c r="O115" s="96"/>
      <c r="P115" s="146"/>
      <c r="Q115" s="101"/>
      <c r="R115" s="35"/>
      <c r="S115" s="35"/>
      <c r="T115" s="35"/>
      <c r="U115" s="35"/>
      <c r="V115" s="35"/>
      <c r="W115" s="35"/>
      <c r="X115" s="35"/>
      <c r="Y115" s="35"/>
      <c r="Z115" s="35"/>
      <c r="AA115" s="35"/>
      <c r="AB115" s="35"/>
      <c r="AC115" s="35"/>
      <c r="AD115" s="35"/>
      <c r="AE115" s="35"/>
      <c r="AF115" s="35"/>
      <c r="AG115" s="35"/>
      <c r="AH115" s="35"/>
      <c r="AI115" s="35"/>
      <c r="AJ115" s="35"/>
      <c r="AK115" s="104"/>
      <c r="AL115" s="35"/>
      <c r="AM115" s="35"/>
      <c r="AN115" s="36"/>
      <c r="AO115" s="36"/>
      <c r="AP115" s="36"/>
      <c r="AQ115" s="36"/>
      <c r="AR115" s="36"/>
      <c r="AS115" s="36"/>
      <c r="AT115" s="36"/>
      <c r="AU115" s="36"/>
      <c r="AV115" s="36"/>
      <c r="AW115" s="36"/>
      <c r="AX115" s="36"/>
      <c r="AY115" s="36"/>
      <c r="AZ115" s="36"/>
      <c r="BA115" s="36"/>
      <c r="BB115" s="36"/>
      <c r="BC115" s="36"/>
      <c r="BD115" s="36"/>
      <c r="BE115" s="36"/>
      <c r="BF115" s="104"/>
      <c r="BG115" s="104"/>
    </row>
    <row r="116" spans="2:59" s="30" customFormat="1" ht="15.75" x14ac:dyDescent="0.2">
      <c r="B116" s="91" t="str">
        <f>B90</f>
        <v>Maa-aineksen 5 kuvaus (valitse yksikkö ja mahdollinen muuntokerroin tonneiksi)</v>
      </c>
      <c r="C116" s="33"/>
      <c r="D116" s="81"/>
      <c r="G116" s="33"/>
      <c r="H116" s="81"/>
      <c r="I116" s="81"/>
      <c r="J116" s="32"/>
      <c r="K116" s="37" t="s">
        <v>297</v>
      </c>
      <c r="L116" s="37" t="s">
        <v>185</v>
      </c>
      <c r="M116" s="83"/>
      <c r="N116" s="83"/>
      <c r="O116" s="260"/>
      <c r="P116" s="144"/>
      <c r="Q116" s="36"/>
      <c r="R116" s="35" t="s">
        <v>318</v>
      </c>
      <c r="S116" s="35"/>
      <c r="T116" s="35" t="s">
        <v>400</v>
      </c>
      <c r="U116" s="35" t="s">
        <v>399</v>
      </c>
      <c r="V116" s="43" t="s">
        <v>397</v>
      </c>
      <c r="W116" s="35" t="s">
        <v>398</v>
      </c>
      <c r="X116" s="43" t="s">
        <v>401</v>
      </c>
      <c r="Y116" s="43" t="s">
        <v>403</v>
      </c>
      <c r="Z116" s="43" t="s">
        <v>402</v>
      </c>
      <c r="AA116" s="43" t="s">
        <v>186</v>
      </c>
      <c r="AB116" s="43" t="s">
        <v>345</v>
      </c>
      <c r="AC116" s="43" t="s">
        <v>404</v>
      </c>
      <c r="AD116" s="43" t="s">
        <v>346</v>
      </c>
      <c r="AE116" s="43" t="s">
        <v>405</v>
      </c>
      <c r="AF116" s="43" t="s">
        <v>406</v>
      </c>
      <c r="AG116" s="43" t="s">
        <v>578</v>
      </c>
      <c r="AH116" s="35" t="s">
        <v>190</v>
      </c>
      <c r="AI116" s="35" t="s">
        <v>249</v>
      </c>
      <c r="AJ116" s="35" t="s">
        <v>191</v>
      </c>
      <c r="AK116" s="104"/>
      <c r="AL116" s="35"/>
      <c r="AM116" s="35"/>
      <c r="AN116" s="36"/>
      <c r="AO116" s="36"/>
      <c r="AP116" s="36"/>
      <c r="AQ116" s="36"/>
      <c r="AR116" s="36"/>
      <c r="AS116" s="36"/>
      <c r="AT116" s="36"/>
      <c r="AU116" s="36"/>
      <c r="AV116" s="36"/>
      <c r="AW116" s="36"/>
      <c r="AX116" s="36"/>
      <c r="AY116" s="36"/>
      <c r="AZ116" s="36"/>
      <c r="BA116" s="36"/>
      <c r="BB116" s="36"/>
      <c r="BC116" s="36"/>
      <c r="BD116" s="36"/>
      <c r="BE116" s="36"/>
      <c r="BF116" s="104"/>
      <c r="BG116" s="104"/>
    </row>
    <row r="117" spans="2:59" s="30" customFormat="1" ht="30" x14ac:dyDescent="0.2">
      <c r="B117" s="44" t="s">
        <v>477</v>
      </c>
      <c r="C117" s="171" t="str">
        <f>IF(ISNUMBER(C90),C90,"")</f>
        <v/>
      </c>
      <c r="D117" s="109" t="str">
        <f>D90</f>
        <v>m3ktr</v>
      </c>
      <c r="G117" s="108" t="str">
        <f>IF(ISNUMBER(G90),G90,"")</f>
        <v/>
      </c>
      <c r="H117" s="81" t="str">
        <f>IF(D117="t","t/t","t/m3")</f>
        <v>t/m3</v>
      </c>
      <c r="I117" s="81"/>
      <c r="J117" s="169" t="s">
        <v>395</v>
      </c>
      <c r="K117" s="92" t="str">
        <f>IFERROR(IF(ISNUMBER(L117),L117,(VLOOKUP(C118,Kalusto!$C$45:$G$84,5,FALSE)*VLOOKUP(C119,Muut!$D$40:$E$43,2,FALSE))),"--")</f>
        <v>--</v>
      </c>
      <c r="L117" s="39"/>
      <c r="M117" s="40" t="s">
        <v>184</v>
      </c>
      <c r="N117" s="40"/>
      <c r="O117" s="259"/>
      <c r="P117" s="145"/>
      <c r="Q117" s="100"/>
      <c r="R117" s="48" t="str">
        <f>IF(AND(NOT(ISNUMBER(AB117)),NOT(ISNUMBER(AG117))),"",IF(ISNUMBER(AB117),AB117,0)+IF(ISNUMBER(AG117),AG117,0))</f>
        <v/>
      </c>
      <c r="S117" s="98" t="s">
        <v>160</v>
      </c>
      <c r="T117" s="46" t="str">
        <f>IFERROR(IF(ISNUMBER(L117),"Kohdetieto",VLOOKUP(C118,Kalusto!$C$45:$L$84,7,FALSE)),"--")</f>
        <v>--</v>
      </c>
      <c r="U117" s="46" t="str">
        <f>IFERROR(IF(ISNUMBER(L117),"Kohdetieto",VLOOKUP(C118,Kalusto!$C$45:$L$84,8,FALSE)),"--")</f>
        <v>--</v>
      </c>
      <c r="V117" s="47" t="str">
        <f>IFERROR(IF(ISNUMBER(L117),"Kohdetieto",VLOOKUP(C118,Kalusto!$C$45:$L$84,9,FALSE)),"--")</f>
        <v>--</v>
      </c>
      <c r="W117" s="47" t="str">
        <f>IFERROR(IF(ISNUMBER(L117),"Kohdetieto",VLOOKUP(C118,Kalusto!$C$45:$L$84,10,FALSE)),"--")</f>
        <v>--</v>
      </c>
      <c r="X117" s="48" t="str">
        <f>IF(ISBLANK(C117),"",IF(D117="t",C117,IF(ISNUMBER(C117*G117),C117*G117,"")))</f>
        <v/>
      </c>
      <c r="Y117" s="46" t="str">
        <f>IF(ISNUMBER(C120),C120,"")</f>
        <v/>
      </c>
      <c r="Z117" s="48" t="str">
        <f>IF(ISNUMBER(X117/(U117*V117)*Y117),X117/(U117*V117)*Y117,"")</f>
        <v/>
      </c>
      <c r="AA117" s="49" t="str">
        <f>IF(ISNUMBER(L117),L117,K117)</f>
        <v>--</v>
      </c>
      <c r="AB117" s="48" t="str">
        <f>IF(ISNUMBER(Y117*X117*K117),Y117*X117*K117,"")</f>
        <v/>
      </c>
      <c r="AC117" s="48" t="str">
        <f>IF(C122="Kyllä",Y117,"")</f>
        <v/>
      </c>
      <c r="AD117" s="48" t="str">
        <f>IF(C122="Kyllä",IF(ISNUMBER(X117/(U117*V117)),X117/(U117*V117),""),"")</f>
        <v/>
      </c>
      <c r="AE117" s="48" t="str">
        <f>IF(ISNUMBER(AD117*AC117),AD117*AC117,"")</f>
        <v/>
      </c>
      <c r="AF117" s="49" t="str">
        <f>IF(ISNUMBER(L118),L118,K118)</f>
        <v>--</v>
      </c>
      <c r="AG117" s="48" t="str">
        <f>IF(ISNUMBER(AC117*AD117*K118),AC117*AD117*K118,"")</f>
        <v/>
      </c>
      <c r="AH117" s="46">
        <f>IF(T117="Jakelukuorma-auto",0,IF(T117="Maansiirtoauto",4,IF(T117="Puoliperävaunu",6,8)))</f>
        <v>8</v>
      </c>
      <c r="AI117" s="46">
        <f>IF(AND(T117="Jakelukuorma-auto",U117=6),0,IF(AND(T117="Jakelukuorma-auto",U117=15),2,0))</f>
        <v>0</v>
      </c>
      <c r="AJ117" s="46">
        <f>IF(W117="maantieajo",0,1)</f>
        <v>1</v>
      </c>
      <c r="AK117" s="104"/>
      <c r="AL117" s="35"/>
      <c r="AM117" s="35"/>
      <c r="AN117" s="36"/>
      <c r="AO117" s="36"/>
      <c r="AP117" s="36"/>
      <c r="AQ117" s="36"/>
      <c r="AR117" s="36"/>
      <c r="AS117" s="36"/>
      <c r="AT117" s="36"/>
      <c r="AU117" s="36"/>
      <c r="AV117" s="36"/>
      <c r="AW117" s="36"/>
      <c r="AX117" s="36"/>
      <c r="AY117" s="36"/>
      <c r="AZ117" s="36"/>
      <c r="BA117" s="36"/>
      <c r="BB117" s="36"/>
      <c r="BC117" s="36"/>
      <c r="BD117" s="36"/>
      <c r="BE117" s="36"/>
      <c r="BF117" s="104"/>
      <c r="BG117" s="104"/>
    </row>
    <row r="118" spans="2:59" s="30" customFormat="1" ht="30" x14ac:dyDescent="0.2">
      <c r="B118" s="166" t="s">
        <v>463</v>
      </c>
      <c r="C118" s="471" t="s">
        <v>298</v>
      </c>
      <c r="D118" s="472"/>
      <c r="E118" s="472"/>
      <c r="F118" s="472"/>
      <c r="G118" s="473"/>
      <c r="H118" s="81"/>
      <c r="I118" s="81"/>
      <c r="J118" s="32" t="s">
        <v>396</v>
      </c>
      <c r="K118" s="92" t="str">
        <f>IFERROR(IF(ISNUMBER(L118),L118,IF($C$122="Ei","",VLOOKUP(C118,Kalusto!$C$45:$U$84,19,FALSE)*VLOOKUP(C119,Muut!$D$40:$E$43,2,FALSE))),"--")</f>
        <v>--</v>
      </c>
      <c r="L118" s="39"/>
      <c r="M118" s="40" t="s">
        <v>188</v>
      </c>
      <c r="N118" s="40"/>
      <c r="O118" s="259"/>
      <c r="P118" s="143"/>
      <c r="Q118" s="101"/>
      <c r="R118" s="95"/>
      <c r="S118" s="35"/>
      <c r="T118" s="35"/>
      <c r="U118" s="35"/>
      <c r="V118" s="35"/>
      <c r="W118" s="35"/>
      <c r="X118" s="35"/>
      <c r="Y118" s="35"/>
      <c r="Z118" s="35"/>
      <c r="AA118" s="35"/>
      <c r="AB118" s="35"/>
      <c r="AC118" s="35"/>
      <c r="AD118" s="35"/>
      <c r="AE118" s="35"/>
      <c r="AF118" s="35"/>
      <c r="AG118" s="35"/>
      <c r="AH118" s="35"/>
      <c r="AI118" s="35"/>
      <c r="AJ118" s="35"/>
      <c r="AK118" s="35"/>
      <c r="AL118" s="35"/>
      <c r="AM118" s="35"/>
      <c r="AN118" s="36"/>
      <c r="AO118" s="36"/>
      <c r="AP118" s="36"/>
      <c r="AQ118" s="36"/>
      <c r="AR118" s="36"/>
      <c r="AS118" s="36"/>
      <c r="AT118" s="36"/>
      <c r="AU118" s="36"/>
      <c r="AV118" s="36"/>
      <c r="AW118" s="36"/>
      <c r="AX118" s="36"/>
      <c r="AY118" s="36"/>
      <c r="AZ118" s="36"/>
      <c r="BA118" s="36"/>
      <c r="BB118" s="36"/>
      <c r="BC118" s="36"/>
      <c r="BD118" s="36"/>
      <c r="BE118" s="36"/>
      <c r="BF118" s="104"/>
      <c r="BG118" s="104"/>
    </row>
    <row r="119" spans="2:59" s="30" customFormat="1" ht="15" x14ac:dyDescent="0.2">
      <c r="B119" s="182" t="s">
        <v>457</v>
      </c>
      <c r="C119" s="156" t="s">
        <v>309</v>
      </c>
      <c r="D119" s="33"/>
      <c r="E119" s="33"/>
      <c r="F119" s="33"/>
      <c r="G119" s="33"/>
      <c r="H119" s="57"/>
      <c r="J119" s="169"/>
      <c r="K119" s="169"/>
      <c r="L119" s="169"/>
      <c r="M119" s="40"/>
      <c r="N119" s="40"/>
      <c r="O119" s="259"/>
      <c r="Q119" s="45"/>
      <c r="R119" s="98"/>
      <c r="S119" s="98"/>
      <c r="T119" s="35"/>
      <c r="U119" s="35"/>
      <c r="V119" s="177"/>
      <c r="W119" s="177"/>
      <c r="X119" s="59"/>
      <c r="Y119" s="35"/>
      <c r="Z119" s="59"/>
      <c r="AA119" s="178"/>
      <c r="AB119" s="59"/>
      <c r="AC119" s="59"/>
      <c r="AD119" s="59"/>
      <c r="AE119" s="59"/>
      <c r="AF119" s="178"/>
      <c r="AG119" s="59"/>
      <c r="AH119" s="35"/>
      <c r="AI119" s="35"/>
      <c r="AJ119" s="35"/>
      <c r="AK119" s="104"/>
      <c r="AL119" s="35"/>
      <c r="AM119" s="35"/>
      <c r="AN119" s="36"/>
      <c r="AO119" s="36"/>
      <c r="AP119" s="36"/>
      <c r="AQ119" s="36"/>
      <c r="AR119" s="36"/>
      <c r="AS119" s="36"/>
      <c r="AT119" s="36"/>
      <c r="AU119" s="36"/>
      <c r="AV119" s="36"/>
      <c r="AW119" s="36"/>
      <c r="AX119" s="36"/>
      <c r="AY119" s="36"/>
      <c r="AZ119" s="36"/>
      <c r="BA119" s="36"/>
      <c r="BB119" s="36"/>
      <c r="BC119" s="36"/>
      <c r="BD119" s="36"/>
      <c r="BE119" s="36"/>
    </row>
    <row r="120" spans="2:59" s="30" customFormat="1" ht="15" x14ac:dyDescent="0.2">
      <c r="B120" s="44" t="s">
        <v>474</v>
      </c>
      <c r="C120" s="158"/>
      <c r="D120" s="81" t="s">
        <v>5</v>
      </c>
      <c r="G120" s="33"/>
      <c r="H120" s="81"/>
      <c r="I120" s="81"/>
      <c r="J120" s="32"/>
      <c r="K120" s="33"/>
      <c r="L120" s="33"/>
      <c r="M120" s="81"/>
      <c r="N120" s="81"/>
      <c r="O120" s="96"/>
      <c r="P120" s="146"/>
      <c r="Q120" s="101"/>
      <c r="R120" s="95"/>
      <c r="S120" s="35"/>
      <c r="T120" s="35"/>
      <c r="U120" s="35"/>
      <c r="V120" s="35"/>
      <c r="W120" s="35"/>
      <c r="X120" s="35"/>
      <c r="Y120" s="35"/>
      <c r="Z120" s="35"/>
      <c r="AA120" s="35"/>
      <c r="AB120" s="35"/>
      <c r="AC120" s="35"/>
      <c r="AD120" s="35"/>
      <c r="AE120" s="35"/>
      <c r="AF120" s="35"/>
      <c r="AG120" s="35"/>
      <c r="AH120" s="35"/>
      <c r="AI120" s="35"/>
      <c r="AJ120" s="35"/>
      <c r="AK120" s="35"/>
      <c r="AL120" s="35"/>
      <c r="AM120" s="35"/>
      <c r="AN120" s="36"/>
      <c r="AO120" s="36"/>
      <c r="AP120" s="36"/>
      <c r="AQ120" s="36"/>
      <c r="AR120" s="36"/>
      <c r="AS120" s="36"/>
      <c r="AT120" s="36"/>
      <c r="AU120" s="36"/>
      <c r="AV120" s="36"/>
      <c r="AW120" s="36"/>
      <c r="AX120" s="36"/>
      <c r="AY120" s="36"/>
      <c r="AZ120" s="36"/>
      <c r="BA120" s="36"/>
      <c r="BB120" s="36"/>
      <c r="BC120" s="36"/>
      <c r="BD120" s="36"/>
      <c r="BE120" s="36"/>
      <c r="BF120" s="104"/>
      <c r="BG120" s="104"/>
    </row>
    <row r="121" spans="2:59" s="30" customFormat="1" ht="15" x14ac:dyDescent="0.2">
      <c r="C121" s="33"/>
      <c r="D121" s="81"/>
      <c r="G121" s="33"/>
      <c r="H121" s="81"/>
      <c r="I121" s="81"/>
      <c r="J121" s="32"/>
      <c r="K121" s="33"/>
      <c r="L121" s="33"/>
      <c r="M121" s="81"/>
      <c r="N121" s="81"/>
      <c r="O121" s="96"/>
      <c r="P121" s="67"/>
      <c r="Q121" s="36"/>
      <c r="R121" s="95"/>
      <c r="S121" s="35"/>
      <c r="T121" s="35"/>
      <c r="U121" s="35"/>
      <c r="V121" s="35"/>
      <c r="W121" s="35"/>
      <c r="X121" s="35"/>
      <c r="Y121" s="35"/>
      <c r="Z121" s="35"/>
      <c r="AA121" s="35"/>
      <c r="AB121" s="35"/>
      <c r="AC121" s="35"/>
      <c r="AD121" s="35"/>
      <c r="AE121" s="35"/>
      <c r="AF121" s="35"/>
      <c r="AG121" s="35"/>
      <c r="AH121" s="35"/>
      <c r="AI121" s="35"/>
      <c r="AJ121" s="35"/>
      <c r="AK121" s="35"/>
      <c r="AL121" s="35"/>
      <c r="AM121" s="35"/>
      <c r="AN121" s="36"/>
      <c r="AO121" s="36"/>
      <c r="AP121" s="36"/>
      <c r="AQ121" s="36"/>
      <c r="AR121" s="36"/>
      <c r="AS121" s="36"/>
      <c r="AT121" s="36"/>
      <c r="AU121" s="36"/>
      <c r="AV121" s="36"/>
      <c r="AW121" s="36"/>
      <c r="AX121" s="36"/>
      <c r="AY121" s="36"/>
      <c r="AZ121" s="36"/>
      <c r="BA121" s="36"/>
      <c r="BB121" s="36"/>
      <c r="BC121" s="36"/>
      <c r="BD121" s="36"/>
      <c r="BE121" s="36"/>
      <c r="BF121" s="104"/>
      <c r="BG121" s="104"/>
    </row>
    <row r="122" spans="2:59" s="30" customFormat="1" ht="45" x14ac:dyDescent="0.2">
      <c r="B122" s="76" t="s">
        <v>606</v>
      </c>
      <c r="C122" s="471" t="s">
        <v>6</v>
      </c>
      <c r="D122" s="473"/>
      <c r="G122" s="33"/>
      <c r="H122" s="81"/>
      <c r="J122" s="32"/>
      <c r="K122" s="33"/>
      <c r="L122" s="33"/>
      <c r="M122" s="81"/>
      <c r="N122" s="81"/>
      <c r="O122" s="96"/>
      <c r="P122" s="67"/>
      <c r="Q122" s="36"/>
      <c r="R122" s="95"/>
      <c r="S122" s="35"/>
      <c r="T122" s="35"/>
      <c r="U122" s="35"/>
      <c r="V122" s="35"/>
      <c r="W122" s="35"/>
      <c r="X122" s="35"/>
      <c r="Y122" s="35"/>
      <c r="Z122" s="35"/>
      <c r="AA122" s="35"/>
      <c r="AB122" s="35"/>
      <c r="AC122" s="35"/>
      <c r="AD122" s="35"/>
      <c r="AE122" s="35"/>
      <c r="AF122" s="35"/>
      <c r="AG122" s="35"/>
      <c r="AH122" s="35"/>
      <c r="AI122" s="35"/>
      <c r="AJ122" s="35"/>
      <c r="AK122" s="35"/>
      <c r="AL122" s="35"/>
      <c r="AM122" s="35"/>
      <c r="AN122" s="36"/>
      <c r="AO122" s="36"/>
      <c r="AP122" s="36"/>
      <c r="AQ122" s="36"/>
      <c r="AR122" s="36"/>
      <c r="AS122" s="36"/>
      <c r="AT122" s="36"/>
      <c r="AU122" s="36"/>
      <c r="AV122" s="36"/>
      <c r="AW122" s="36"/>
      <c r="AX122" s="36"/>
      <c r="AY122" s="36"/>
      <c r="AZ122" s="36"/>
      <c r="BA122" s="36"/>
      <c r="BB122" s="36"/>
      <c r="BC122" s="36"/>
      <c r="BD122" s="36"/>
      <c r="BE122" s="36"/>
      <c r="BF122" s="104"/>
      <c r="BG122" s="104"/>
    </row>
    <row r="123" spans="2:59" s="30" customFormat="1" ht="15" x14ac:dyDescent="0.2">
      <c r="C123" s="33"/>
      <c r="D123" s="81"/>
      <c r="G123" s="33"/>
      <c r="H123" s="81"/>
      <c r="J123" s="32"/>
      <c r="K123" s="33"/>
      <c r="L123" s="33"/>
      <c r="M123" s="81"/>
      <c r="N123" s="81"/>
      <c r="O123" s="81"/>
      <c r="Q123" s="34"/>
      <c r="R123" s="95"/>
      <c r="S123" s="35"/>
      <c r="T123" s="35"/>
      <c r="U123" s="35"/>
      <c r="V123" s="35"/>
      <c r="W123" s="35"/>
      <c r="X123" s="35"/>
      <c r="Y123" s="35"/>
      <c r="Z123" s="35"/>
      <c r="AA123" s="35"/>
      <c r="AB123" s="35"/>
      <c r="AC123" s="35"/>
      <c r="AD123" s="35"/>
      <c r="AE123" s="35"/>
      <c r="AF123" s="35"/>
      <c r="AG123" s="35"/>
      <c r="AH123" s="35"/>
      <c r="AI123" s="35"/>
      <c r="AJ123" s="35"/>
      <c r="AK123" s="35"/>
      <c r="AL123" s="35"/>
      <c r="AM123" s="35"/>
      <c r="AN123" s="36"/>
      <c r="AO123" s="36"/>
      <c r="AP123" s="36"/>
      <c r="AQ123" s="36"/>
      <c r="AR123" s="36"/>
      <c r="AS123" s="36"/>
      <c r="AT123" s="36"/>
      <c r="AU123" s="36"/>
      <c r="AV123" s="36"/>
      <c r="AW123" s="36"/>
      <c r="AX123" s="36"/>
      <c r="AY123" s="36"/>
      <c r="AZ123" s="36"/>
      <c r="BA123" s="36"/>
      <c r="BB123" s="36"/>
      <c r="BC123" s="36"/>
      <c r="BD123" s="36"/>
      <c r="BE123" s="36"/>
    </row>
    <row r="124" spans="2:59" s="289" customFormat="1" ht="18" x14ac:dyDescent="0.2">
      <c r="B124" s="286" t="s">
        <v>585</v>
      </c>
      <c r="C124" s="287"/>
      <c r="D124" s="288"/>
      <c r="G124" s="287"/>
      <c r="H124" s="288"/>
      <c r="K124" s="287"/>
      <c r="L124" s="287"/>
      <c r="M124" s="288"/>
      <c r="N124" s="288"/>
      <c r="O124" s="291"/>
      <c r="P124" s="311"/>
      <c r="Q124" s="295"/>
      <c r="S124" s="294"/>
      <c r="T124" s="294"/>
      <c r="U124" s="294"/>
      <c r="V124" s="294"/>
      <c r="W124" s="294"/>
      <c r="X124" s="294"/>
      <c r="Y124" s="294"/>
      <c r="Z124" s="294"/>
      <c r="AA124" s="294"/>
      <c r="AB124" s="294"/>
      <c r="AC124" s="294"/>
      <c r="AD124" s="294"/>
      <c r="AE124" s="294"/>
      <c r="AF124" s="294"/>
      <c r="AG124" s="294"/>
      <c r="AH124" s="294"/>
      <c r="AI124" s="294"/>
      <c r="AJ124" s="294"/>
      <c r="AK124" s="294"/>
      <c r="AL124" s="294"/>
      <c r="AM124" s="294"/>
      <c r="AN124" s="295"/>
      <c r="AO124" s="295"/>
      <c r="AP124" s="295"/>
      <c r="AQ124" s="295"/>
      <c r="AR124" s="295"/>
      <c r="AS124" s="295"/>
      <c r="AT124" s="295"/>
      <c r="AU124" s="295"/>
      <c r="AV124" s="295"/>
      <c r="AW124" s="295"/>
      <c r="AX124" s="295"/>
      <c r="AY124" s="295"/>
      <c r="AZ124" s="295"/>
      <c r="BA124" s="295"/>
      <c r="BB124" s="295"/>
      <c r="BC124" s="295"/>
      <c r="BD124" s="295"/>
      <c r="BE124" s="295"/>
    </row>
    <row r="125" spans="2:59" s="30" customFormat="1" ht="60" x14ac:dyDescent="0.2">
      <c r="B125" s="8"/>
      <c r="C125" s="33" t="s">
        <v>50</v>
      </c>
      <c r="D125" s="81"/>
      <c r="G125" s="37" t="s">
        <v>478</v>
      </c>
      <c r="H125" s="81"/>
      <c r="J125" s="32"/>
      <c r="K125" s="37" t="s">
        <v>297</v>
      </c>
      <c r="L125" s="37" t="s">
        <v>185</v>
      </c>
      <c r="O125" s="249" t="s">
        <v>584</v>
      </c>
      <c r="P125" s="144"/>
      <c r="Q125" s="104"/>
      <c r="R125" s="35" t="s">
        <v>318</v>
      </c>
      <c r="S125" s="35"/>
      <c r="T125" s="35" t="s">
        <v>423</v>
      </c>
      <c r="U125" s="35" t="s">
        <v>319</v>
      </c>
      <c r="V125" s="35" t="s">
        <v>320</v>
      </c>
      <c r="W125" s="104"/>
      <c r="X125" s="104"/>
      <c r="Y125" s="35"/>
      <c r="Z125" s="35"/>
      <c r="AA125" s="35"/>
      <c r="AB125" s="35"/>
      <c r="AC125" s="35"/>
      <c r="AD125" s="35"/>
      <c r="AE125" s="35"/>
      <c r="AF125" s="35"/>
      <c r="AG125" s="35"/>
      <c r="AH125" s="35"/>
      <c r="AI125" s="35"/>
      <c r="AJ125" s="35"/>
      <c r="AK125" s="35"/>
      <c r="AL125" s="35"/>
      <c r="AM125" s="35"/>
      <c r="AN125" s="35"/>
      <c r="AO125" s="35"/>
      <c r="AP125" s="36"/>
      <c r="AQ125" s="36"/>
      <c r="AR125" s="36"/>
      <c r="AS125" s="36"/>
      <c r="AT125" s="36"/>
      <c r="AU125" s="36"/>
      <c r="AV125" s="36"/>
      <c r="AW125" s="36"/>
      <c r="AX125" s="36"/>
      <c r="AY125" s="36"/>
      <c r="AZ125" s="36"/>
      <c r="BA125" s="36"/>
      <c r="BB125" s="36"/>
      <c r="BC125" s="36"/>
      <c r="BD125" s="36"/>
      <c r="BE125" s="36"/>
      <c r="BF125" s="36"/>
      <c r="BG125" s="36"/>
    </row>
    <row r="126" spans="2:59" s="30" customFormat="1" ht="30" x14ac:dyDescent="0.2">
      <c r="B126" s="76" t="s">
        <v>431</v>
      </c>
      <c r="C126" s="152">
        <f>SUM(C86:C90)</f>
        <v>0</v>
      </c>
      <c r="D126" s="81" t="s">
        <v>198</v>
      </c>
      <c r="G126" s="171">
        <f>IF(ISNUMBER(SUM(V86:V90)),SUM(V86:V90),"")</f>
        <v>0</v>
      </c>
      <c r="H126" s="81"/>
      <c r="J126" s="32" t="s">
        <v>424</v>
      </c>
      <c r="K126" s="134" t="str">
        <f>IFERROR(IF(ISNUMBER(L126),L126,(VLOOKUP(C127,Kalusto!$C$5:$E$42,3,FALSE))*(VLOOKUP(C128,Muut!$D$40:$E$43,2,FALSE))),"--")</f>
        <v>--</v>
      </c>
      <c r="L126" s="61"/>
      <c r="M126" s="40" t="s">
        <v>189</v>
      </c>
      <c r="N126" s="40"/>
      <c r="O126" s="250"/>
      <c r="P126" s="147"/>
      <c r="Q126" s="104"/>
      <c r="R126" s="48" t="str">
        <f>IF(ISNUMBER(K126*V126),K126*V126,"")</f>
        <v/>
      </c>
      <c r="S126" s="98" t="s">
        <v>160</v>
      </c>
      <c r="T126" s="48">
        <f>IF(ISNUMBER(C126),C126,IF(ISNUMBER(G126),G126,""))</f>
        <v>0</v>
      </c>
      <c r="U126" s="62" t="str">
        <f>IF(D129="h","",IF(ISNUMBER(C129),C129,""))</f>
        <v/>
      </c>
      <c r="V126" s="48" t="str">
        <f>IF(ISNUMBER(T126),IF(D129="h",D129,IF(ISNUMBER(T126*U126),IF(D129="m3/h",T126/U126,T126*U126),"")),"")</f>
        <v/>
      </c>
      <c r="W126" s="104"/>
      <c r="X126" s="104"/>
      <c r="Y126" s="104"/>
      <c r="Z126" s="59"/>
      <c r="AA126" s="35"/>
      <c r="AB126" s="35"/>
      <c r="AC126" s="60"/>
      <c r="AD126" s="35"/>
      <c r="AE126" s="35"/>
      <c r="AF126" s="35"/>
      <c r="AG126" s="35"/>
      <c r="AH126" s="35"/>
      <c r="AI126" s="35"/>
      <c r="AJ126" s="35"/>
      <c r="AK126" s="35"/>
      <c r="AL126" s="35"/>
      <c r="AM126" s="35"/>
      <c r="AN126" s="35"/>
      <c r="AO126" s="35"/>
      <c r="AP126" s="36"/>
      <c r="AQ126" s="36"/>
      <c r="AR126" s="36"/>
      <c r="AS126" s="36"/>
      <c r="AT126" s="36"/>
      <c r="AU126" s="36"/>
      <c r="AV126" s="36"/>
      <c r="AW126" s="36"/>
      <c r="AX126" s="36"/>
      <c r="AY126" s="36"/>
      <c r="AZ126" s="36"/>
      <c r="BA126" s="36"/>
      <c r="BB126" s="36"/>
      <c r="BC126" s="36"/>
      <c r="BD126" s="36"/>
      <c r="BE126" s="36"/>
      <c r="BF126" s="36"/>
      <c r="BG126" s="36"/>
    </row>
    <row r="127" spans="2:59" s="30" customFormat="1" ht="15" x14ac:dyDescent="0.2">
      <c r="B127" s="52" t="s">
        <v>461</v>
      </c>
      <c r="C127" s="471" t="s">
        <v>300</v>
      </c>
      <c r="D127" s="472"/>
      <c r="E127" s="472"/>
      <c r="F127" s="472"/>
      <c r="G127" s="473"/>
      <c r="H127" s="81"/>
      <c r="J127" s="32"/>
      <c r="O127" s="258"/>
      <c r="P127" s="67"/>
      <c r="Q127" s="104"/>
      <c r="R127" s="94"/>
      <c r="S127" s="104"/>
      <c r="T127" s="36"/>
      <c r="U127" s="35"/>
      <c r="V127" s="35"/>
      <c r="W127" s="35"/>
      <c r="X127" s="35"/>
      <c r="Y127" s="35"/>
      <c r="Z127" s="35"/>
      <c r="AA127" s="35"/>
      <c r="AB127" s="35"/>
      <c r="AC127" s="35"/>
      <c r="AD127" s="35"/>
      <c r="AE127" s="35"/>
      <c r="AF127" s="35"/>
      <c r="AG127" s="35"/>
      <c r="AH127" s="35"/>
      <c r="AI127" s="35"/>
      <c r="AJ127" s="35"/>
      <c r="AK127" s="35"/>
      <c r="AL127" s="35"/>
      <c r="AM127" s="35"/>
      <c r="AN127" s="35"/>
      <c r="AO127" s="35"/>
      <c r="AP127" s="36"/>
      <c r="AQ127" s="36"/>
      <c r="AR127" s="36"/>
      <c r="AS127" s="36"/>
      <c r="AT127" s="36"/>
      <c r="AU127" s="36"/>
      <c r="AV127" s="36"/>
      <c r="AW127" s="36"/>
      <c r="AX127" s="36"/>
      <c r="AY127" s="36"/>
      <c r="AZ127" s="36"/>
      <c r="BA127" s="36"/>
      <c r="BB127" s="36"/>
      <c r="BC127" s="36"/>
      <c r="BD127" s="36"/>
      <c r="BE127" s="36"/>
      <c r="BF127" s="36"/>
      <c r="BG127" s="36"/>
    </row>
    <row r="128" spans="2:59" s="30" customFormat="1" ht="15" x14ac:dyDescent="0.2">
      <c r="B128" s="166" t="s">
        <v>460</v>
      </c>
      <c r="C128" s="156" t="s">
        <v>309</v>
      </c>
      <c r="D128" s="33"/>
      <c r="E128" s="33"/>
      <c r="F128" s="33"/>
      <c r="G128" s="33"/>
      <c r="H128" s="57"/>
      <c r="J128" s="169"/>
      <c r="K128" s="169"/>
      <c r="L128" s="169"/>
      <c r="M128" s="40"/>
      <c r="N128" s="40"/>
      <c r="O128" s="250"/>
      <c r="Q128" s="45"/>
      <c r="R128" s="59"/>
      <c r="S128" s="98"/>
      <c r="T128" s="35"/>
      <c r="U128" s="35"/>
      <c r="V128" s="177"/>
      <c r="W128" s="177"/>
      <c r="X128" s="59"/>
      <c r="Y128" s="35"/>
      <c r="Z128" s="59"/>
      <c r="AA128" s="178"/>
      <c r="AB128" s="59"/>
      <c r="AC128" s="59"/>
      <c r="AD128" s="59"/>
      <c r="AE128" s="59"/>
      <c r="AF128" s="178"/>
      <c r="AG128" s="59"/>
      <c r="AH128" s="35"/>
      <c r="AI128" s="35"/>
      <c r="AJ128" s="35"/>
      <c r="AK128" s="104"/>
      <c r="AL128" s="35"/>
      <c r="AM128" s="35"/>
      <c r="AN128" s="36"/>
      <c r="AO128" s="36"/>
      <c r="AP128" s="36"/>
      <c r="AQ128" s="36"/>
      <c r="AR128" s="36"/>
      <c r="AS128" s="36"/>
      <c r="AT128" s="36"/>
      <c r="AU128" s="36"/>
      <c r="AV128" s="36"/>
      <c r="AW128" s="36"/>
      <c r="AX128" s="36"/>
      <c r="AY128" s="36"/>
      <c r="AZ128" s="36"/>
      <c r="BA128" s="36"/>
      <c r="BB128" s="36"/>
      <c r="BC128" s="36"/>
      <c r="BD128" s="36"/>
      <c r="BE128" s="36"/>
    </row>
    <row r="129" spans="2:59" s="30" customFormat="1" ht="30" x14ac:dyDescent="0.2">
      <c r="B129" s="76" t="s">
        <v>462</v>
      </c>
      <c r="C129" s="189"/>
      <c r="D129" s="86" t="s">
        <v>193</v>
      </c>
      <c r="G129" s="33"/>
      <c r="H129" s="81"/>
      <c r="J129" s="32"/>
      <c r="O129" s="258"/>
      <c r="P129" s="67"/>
      <c r="Q129" s="104"/>
      <c r="R129" s="94"/>
      <c r="S129" s="104"/>
      <c r="T129" s="36"/>
      <c r="U129" s="35"/>
      <c r="V129" s="35"/>
      <c r="W129" s="35"/>
      <c r="X129" s="35"/>
      <c r="Y129" s="35"/>
      <c r="Z129" s="35"/>
      <c r="AA129" s="35"/>
      <c r="AB129" s="35"/>
      <c r="AC129" s="35"/>
      <c r="AD129" s="35"/>
      <c r="AE129" s="35"/>
      <c r="AF129" s="35"/>
      <c r="AG129" s="35"/>
      <c r="AH129" s="35"/>
      <c r="AI129" s="35"/>
      <c r="AJ129" s="35"/>
      <c r="AK129" s="35"/>
      <c r="AL129" s="35"/>
      <c r="AM129" s="35"/>
      <c r="AN129" s="35"/>
      <c r="AO129" s="35"/>
      <c r="AP129" s="36"/>
      <c r="AQ129" s="36"/>
      <c r="AR129" s="36"/>
      <c r="AS129" s="36"/>
      <c r="AT129" s="36"/>
      <c r="AU129" s="36"/>
      <c r="AV129" s="36"/>
      <c r="AW129" s="36"/>
      <c r="AX129" s="36"/>
      <c r="AY129" s="36"/>
      <c r="AZ129" s="36"/>
      <c r="BA129" s="36"/>
      <c r="BB129" s="36"/>
      <c r="BC129" s="36"/>
      <c r="BD129" s="36"/>
      <c r="BE129" s="36"/>
      <c r="BF129" s="36"/>
      <c r="BG129" s="36"/>
    </row>
    <row r="130" spans="2:59" s="30" customFormat="1" ht="15" x14ac:dyDescent="0.2">
      <c r="C130" s="33"/>
      <c r="D130" s="81"/>
      <c r="G130" s="33"/>
      <c r="H130" s="81"/>
      <c r="J130" s="32"/>
      <c r="O130" s="167"/>
      <c r="P130" s="67"/>
      <c r="Q130" s="104"/>
      <c r="R130" s="94"/>
      <c r="S130" s="104"/>
      <c r="T130" s="36"/>
      <c r="U130" s="35"/>
      <c r="V130" s="35"/>
      <c r="W130" s="35"/>
      <c r="X130" s="35"/>
      <c r="Y130" s="35"/>
      <c r="Z130" s="35"/>
      <c r="AA130" s="35"/>
      <c r="AB130" s="35"/>
      <c r="AC130" s="35"/>
      <c r="AD130" s="35"/>
      <c r="AE130" s="35"/>
      <c r="AF130" s="35"/>
      <c r="AG130" s="35"/>
      <c r="AH130" s="35"/>
      <c r="AI130" s="35"/>
      <c r="AJ130" s="35"/>
      <c r="AK130" s="35"/>
      <c r="AL130" s="35"/>
      <c r="AM130" s="35"/>
      <c r="AN130" s="35"/>
      <c r="AO130" s="35"/>
      <c r="AP130" s="36"/>
      <c r="AQ130" s="36"/>
      <c r="AR130" s="36"/>
      <c r="AS130" s="36"/>
      <c r="AT130" s="36"/>
      <c r="AU130" s="36"/>
      <c r="AV130" s="36"/>
      <c r="AW130" s="36"/>
      <c r="AX130" s="36"/>
      <c r="AY130" s="36"/>
      <c r="AZ130" s="36"/>
      <c r="BA130" s="36"/>
      <c r="BB130" s="36"/>
      <c r="BC130" s="36"/>
      <c r="BD130" s="36"/>
      <c r="BE130" s="36"/>
      <c r="BF130" s="36"/>
      <c r="BG130" s="36"/>
    </row>
    <row r="131" spans="2:59" s="289" customFormat="1" ht="18" x14ac:dyDescent="0.2">
      <c r="B131" s="286" t="s">
        <v>589</v>
      </c>
      <c r="C131" s="287"/>
      <c r="D131" s="288"/>
      <c r="G131" s="287"/>
      <c r="H131" s="288"/>
      <c r="K131" s="287"/>
      <c r="L131" s="287"/>
      <c r="M131" s="288"/>
      <c r="N131" s="288"/>
      <c r="O131" s="291"/>
      <c r="P131" s="311"/>
      <c r="Q131" s="295"/>
      <c r="S131" s="294"/>
      <c r="T131" s="294"/>
      <c r="U131" s="294"/>
      <c r="V131" s="294"/>
      <c r="W131" s="294"/>
      <c r="X131" s="294"/>
      <c r="Y131" s="294"/>
      <c r="Z131" s="294"/>
      <c r="AA131" s="294"/>
      <c r="AB131" s="294"/>
      <c r="AC131" s="294"/>
      <c r="AD131" s="294"/>
      <c r="AE131" s="294"/>
      <c r="AF131" s="294"/>
      <c r="AG131" s="294"/>
      <c r="AH131" s="294"/>
      <c r="AI131" s="294"/>
      <c r="AJ131" s="294"/>
      <c r="AK131" s="294"/>
      <c r="AL131" s="294"/>
      <c r="AM131" s="294"/>
      <c r="AN131" s="295"/>
      <c r="AO131" s="295"/>
      <c r="AP131" s="295"/>
      <c r="AQ131" s="295"/>
      <c r="AR131" s="295"/>
      <c r="AS131" s="295"/>
      <c r="AT131" s="295"/>
      <c r="AU131" s="295"/>
      <c r="AV131" s="295"/>
      <c r="AW131" s="295"/>
      <c r="AX131" s="295"/>
      <c r="AY131" s="295"/>
      <c r="AZ131" s="295"/>
      <c r="BA131" s="295"/>
      <c r="BB131" s="295"/>
      <c r="BC131" s="295"/>
      <c r="BD131" s="295"/>
      <c r="BE131" s="295"/>
    </row>
    <row r="132" spans="2:59" s="30" customFormat="1" ht="15" x14ac:dyDescent="0.2">
      <c r="C132" s="33"/>
      <c r="D132" s="81"/>
      <c r="G132" s="33"/>
      <c r="H132" s="81"/>
      <c r="J132" s="32"/>
      <c r="K132" s="33"/>
      <c r="L132" s="33"/>
      <c r="M132" s="81"/>
      <c r="N132" s="81"/>
      <c r="O132" s="249" t="s">
        <v>584</v>
      </c>
      <c r="Q132" s="34"/>
      <c r="R132" s="95"/>
      <c r="S132" s="35"/>
      <c r="T132" s="35"/>
      <c r="U132" s="35"/>
      <c r="V132" s="35"/>
      <c r="W132" s="35"/>
      <c r="X132" s="35"/>
      <c r="Y132" s="35"/>
      <c r="Z132" s="35"/>
      <c r="AA132" s="35"/>
      <c r="AB132" s="35"/>
      <c r="AC132" s="35"/>
      <c r="AD132" s="35"/>
      <c r="AE132" s="35"/>
      <c r="AF132" s="35"/>
      <c r="AG132" s="35"/>
      <c r="AH132" s="35"/>
      <c r="AI132" s="35"/>
      <c r="AJ132" s="35"/>
      <c r="AK132" s="35"/>
      <c r="AL132" s="35"/>
      <c r="AM132" s="35"/>
      <c r="AN132" s="36"/>
      <c r="AO132" s="36"/>
      <c r="AP132" s="36"/>
      <c r="AQ132" s="36"/>
      <c r="AR132" s="36"/>
      <c r="AS132" s="36"/>
      <c r="AT132" s="36"/>
      <c r="AU132" s="36"/>
      <c r="AV132" s="36"/>
      <c r="AW132" s="36"/>
      <c r="AX132" s="36"/>
      <c r="AY132" s="36"/>
      <c r="AZ132" s="36"/>
      <c r="BA132" s="36"/>
      <c r="BB132" s="36"/>
      <c r="BC132" s="36"/>
      <c r="BD132" s="36"/>
      <c r="BE132" s="36"/>
    </row>
    <row r="133" spans="2:59" s="30" customFormat="1" ht="15" x14ac:dyDescent="0.2">
      <c r="B133" s="160" t="s">
        <v>303</v>
      </c>
      <c r="C133" s="33"/>
      <c r="D133" s="81"/>
      <c r="G133" s="33"/>
      <c r="H133" s="81"/>
      <c r="K133" s="37"/>
      <c r="L133" s="37"/>
      <c r="M133" s="81"/>
      <c r="N133" s="81"/>
      <c r="O133" s="250"/>
      <c r="Q133" s="34"/>
      <c r="R133" s="95"/>
      <c r="S133" s="35"/>
      <c r="T133" s="35"/>
      <c r="U133" s="35"/>
      <c r="V133" s="35"/>
      <c r="W133" s="35"/>
      <c r="X133" s="35"/>
      <c r="Y133" s="35"/>
      <c r="Z133" s="35"/>
      <c r="AA133" s="35"/>
      <c r="AB133" s="35"/>
      <c r="AC133" s="35"/>
      <c r="AD133" s="35"/>
      <c r="AE133" s="35"/>
      <c r="AF133" s="35"/>
      <c r="AG133" s="35"/>
      <c r="AH133" s="35"/>
      <c r="AI133" s="35"/>
      <c r="AJ133" s="35"/>
      <c r="AK133" s="35"/>
      <c r="AL133" s="35"/>
      <c r="AM133" s="35"/>
      <c r="AN133" s="36"/>
      <c r="AO133" s="36"/>
      <c r="AP133" s="36"/>
      <c r="AQ133" s="36"/>
      <c r="AR133" s="36"/>
      <c r="AS133" s="36"/>
      <c r="AT133" s="36"/>
      <c r="AU133" s="36"/>
      <c r="AV133" s="36"/>
      <c r="AW133" s="36"/>
      <c r="AX133" s="36"/>
      <c r="AY133" s="36"/>
      <c r="AZ133" s="36"/>
      <c r="BA133" s="36"/>
      <c r="BB133" s="36"/>
      <c r="BC133" s="36"/>
      <c r="BD133" s="36"/>
      <c r="BE133" s="36"/>
    </row>
    <row r="134" spans="2:59" s="30" customFormat="1" ht="60" x14ac:dyDescent="0.2">
      <c r="B134" s="76" t="s">
        <v>694</v>
      </c>
      <c r="C134" s="474" t="s">
        <v>110</v>
      </c>
      <c r="D134" s="474"/>
      <c r="G134" s="37" t="str">
        <f>IF(C134="Muu tuote tai materiaali","Muun tuotteen tai materiaalin määrän yksikkö","")</f>
        <v/>
      </c>
      <c r="H134" s="81"/>
      <c r="K134" s="37" t="s">
        <v>297</v>
      </c>
      <c r="L134" s="37" t="s">
        <v>185</v>
      </c>
      <c r="M134" s="81" t="s">
        <v>287</v>
      </c>
      <c r="N134" s="81"/>
      <c r="O134" s="96"/>
      <c r="Q134" s="34"/>
      <c r="R134" s="35" t="s">
        <v>318</v>
      </c>
      <c r="S134" s="35"/>
      <c r="T134" s="104"/>
      <c r="U134" s="35"/>
      <c r="V134" s="35"/>
      <c r="W134" s="35"/>
      <c r="X134" s="35"/>
      <c r="Y134" s="35"/>
      <c r="Z134" s="35"/>
      <c r="AA134" s="35"/>
      <c r="AB134" s="35"/>
      <c r="AC134" s="35"/>
      <c r="AD134" s="35"/>
      <c r="AE134" s="35"/>
      <c r="AF134" s="35"/>
      <c r="AG134" s="35"/>
      <c r="AH134" s="35"/>
      <c r="AI134" s="35"/>
      <c r="AJ134" s="35"/>
      <c r="AK134" s="35"/>
      <c r="AL134" s="35"/>
      <c r="AM134" s="35"/>
      <c r="AN134" s="36"/>
      <c r="AO134" s="36"/>
      <c r="AP134" s="36"/>
      <c r="AQ134" s="36"/>
      <c r="AR134" s="36"/>
      <c r="AS134" s="36"/>
      <c r="AT134" s="36"/>
      <c r="AU134" s="36"/>
      <c r="AV134" s="36"/>
      <c r="AW134" s="36"/>
      <c r="AX134" s="36"/>
      <c r="AY134" s="36"/>
      <c r="AZ134" s="36"/>
      <c r="BA134" s="36"/>
      <c r="BB134" s="36"/>
      <c r="BC134" s="36"/>
      <c r="BD134" s="36"/>
      <c r="BE134" s="36"/>
    </row>
    <row r="135" spans="2:59" s="30" customFormat="1" ht="15" x14ac:dyDescent="0.2">
      <c r="B135" s="52" t="s">
        <v>331</v>
      </c>
      <c r="C135" s="158"/>
      <c r="D135" s="81" t="str">
        <f>IFERROR(VLOOKUP(C134,Materiaalit!$C$48:$D$66,2,FALSE),"Yksikkö")</f>
        <v>Yksikkö</v>
      </c>
      <c r="E135" s="33" t="s">
        <v>187</v>
      </c>
      <c r="F135" s="33"/>
      <c r="G135" s="41"/>
      <c r="H135" s="81"/>
      <c r="J135" s="32" t="s">
        <v>332</v>
      </c>
      <c r="K135" s="92" t="str">
        <f>IFERROR(IF(ISNUMBER(L135),L135,VLOOKUP(C134,Materiaalit!$C$46:$G$66,5,FALSE)),"--")</f>
        <v>--</v>
      </c>
      <c r="L135" s="39"/>
      <c r="M135" s="396" t="str">
        <f>IF(D135="Yksikkö","--",IF(AND(D135="Oma yksikkö",ISBLANK(G135)),"Puuttuu",IF(AND(D135="Oma yksikkö",NOT(ISBLANK(G135))),"kgCO2e/" &amp; G135,"kgCO2e/" &amp; D135)))</f>
        <v>--</v>
      </c>
      <c r="N135" s="41"/>
      <c r="O135" s="261"/>
      <c r="Q135" s="34"/>
      <c r="R135" s="48" t="str">
        <f>IF(NOT(AND(ISNUMBER(K135),ISNUMBER(C135))),"",C135*K135)</f>
        <v/>
      </c>
      <c r="S135" s="98" t="s">
        <v>160</v>
      </c>
      <c r="T135" s="104"/>
      <c r="U135" s="35"/>
      <c r="V135" s="35"/>
      <c r="W135" s="35"/>
      <c r="X135" s="35"/>
      <c r="Y135" s="35"/>
      <c r="Z135" s="35"/>
      <c r="AA135" s="35"/>
      <c r="AB135" s="35"/>
      <c r="AC135" s="35"/>
      <c r="AD135" s="35"/>
      <c r="AE135" s="35"/>
      <c r="AF135" s="35"/>
      <c r="AG135" s="35"/>
      <c r="AH135" s="35"/>
      <c r="AI135" s="35"/>
      <c r="AJ135" s="35"/>
      <c r="AK135" s="35"/>
      <c r="AL135" s="35"/>
      <c r="AM135" s="35"/>
      <c r="AN135" s="36"/>
      <c r="AO135" s="36"/>
      <c r="AP135" s="36"/>
      <c r="AQ135" s="36"/>
      <c r="AR135" s="36"/>
      <c r="AS135" s="36"/>
      <c r="AT135" s="36"/>
      <c r="AU135" s="36"/>
      <c r="AV135" s="36"/>
      <c r="AW135" s="36"/>
      <c r="AX135" s="36"/>
      <c r="AY135" s="36"/>
      <c r="AZ135" s="36"/>
      <c r="BA135" s="36"/>
      <c r="BB135" s="36"/>
      <c r="BC135" s="36"/>
      <c r="BD135" s="36"/>
      <c r="BE135" s="36"/>
    </row>
    <row r="136" spans="2:59" s="30" customFormat="1" ht="15" x14ac:dyDescent="0.2">
      <c r="B136" s="160" t="s">
        <v>304</v>
      </c>
      <c r="C136" s="33"/>
      <c r="D136" s="81"/>
      <c r="G136" s="33"/>
      <c r="H136" s="81"/>
      <c r="J136" s="32"/>
      <c r="K136" s="37"/>
      <c r="L136" s="37"/>
      <c r="M136" s="37"/>
      <c r="N136" s="37"/>
      <c r="O136" s="262"/>
      <c r="Q136" s="34"/>
      <c r="R136" s="59"/>
      <c r="S136" s="35"/>
      <c r="T136" s="104"/>
      <c r="U136" s="35"/>
      <c r="V136" s="35"/>
      <c r="W136" s="35"/>
      <c r="X136" s="35"/>
      <c r="Y136" s="35"/>
      <c r="Z136" s="35"/>
      <c r="AA136" s="35"/>
      <c r="AB136" s="35"/>
      <c r="AC136" s="35"/>
      <c r="AD136" s="35"/>
      <c r="AE136" s="35"/>
      <c r="AF136" s="35"/>
      <c r="AG136" s="35"/>
      <c r="AH136" s="35"/>
      <c r="AI136" s="35"/>
      <c r="AJ136" s="35"/>
      <c r="AK136" s="35"/>
      <c r="AL136" s="35"/>
      <c r="AM136" s="35"/>
      <c r="AN136" s="36"/>
      <c r="AO136" s="36"/>
      <c r="AP136" s="36"/>
      <c r="AQ136" s="36"/>
      <c r="AR136" s="36"/>
      <c r="AS136" s="36"/>
      <c r="AT136" s="36"/>
      <c r="AU136" s="36"/>
      <c r="AV136" s="36"/>
      <c r="AW136" s="36"/>
      <c r="AX136" s="36"/>
      <c r="AY136" s="36"/>
      <c r="AZ136" s="36"/>
      <c r="BA136" s="36"/>
      <c r="BB136" s="36"/>
      <c r="BC136" s="36"/>
      <c r="BD136" s="36"/>
      <c r="BE136" s="36"/>
    </row>
    <row r="137" spans="2:59" s="30" customFormat="1" ht="60" x14ac:dyDescent="0.2">
      <c r="B137" s="76" t="s">
        <v>694</v>
      </c>
      <c r="C137" s="474" t="s">
        <v>110</v>
      </c>
      <c r="D137" s="474"/>
      <c r="G137" s="37" t="str">
        <f>IF(C137="Muu tuote tai materiaali","Muun tuotteen tai materiaalin määrän yksikkö","")</f>
        <v/>
      </c>
      <c r="H137" s="81"/>
      <c r="J137" s="32"/>
      <c r="K137" s="37" t="s">
        <v>297</v>
      </c>
      <c r="L137" s="37" t="s">
        <v>185</v>
      </c>
      <c r="M137" s="37" t="s">
        <v>287</v>
      </c>
      <c r="N137" s="37"/>
      <c r="O137" s="262"/>
      <c r="Q137" s="34"/>
      <c r="R137" s="35" t="s">
        <v>318</v>
      </c>
      <c r="S137" s="35"/>
      <c r="T137" s="104"/>
      <c r="U137" s="35"/>
      <c r="V137" s="35"/>
      <c r="W137" s="35"/>
      <c r="X137" s="35"/>
      <c r="Y137" s="35"/>
      <c r="Z137" s="35"/>
      <c r="AA137" s="35"/>
      <c r="AB137" s="35"/>
      <c r="AC137" s="35"/>
      <c r="AD137" s="35"/>
      <c r="AE137" s="35"/>
      <c r="AF137" s="35"/>
      <c r="AG137" s="35"/>
      <c r="AH137" s="35"/>
      <c r="AI137" s="35"/>
      <c r="AJ137" s="35"/>
      <c r="AK137" s="35"/>
      <c r="AL137" s="35"/>
      <c r="AM137" s="35"/>
      <c r="AN137" s="36"/>
      <c r="AO137" s="36"/>
      <c r="AP137" s="36"/>
      <c r="AQ137" s="36"/>
      <c r="AR137" s="36"/>
      <c r="AS137" s="36"/>
      <c r="AT137" s="36"/>
      <c r="AU137" s="36"/>
      <c r="AV137" s="36"/>
      <c r="AW137" s="36"/>
      <c r="AX137" s="36"/>
      <c r="AY137" s="36"/>
      <c r="AZ137" s="36"/>
      <c r="BA137" s="36"/>
      <c r="BB137" s="36"/>
      <c r="BC137" s="36"/>
      <c r="BD137" s="36"/>
      <c r="BE137" s="36"/>
    </row>
    <row r="138" spans="2:59" s="30" customFormat="1" ht="15" x14ac:dyDescent="0.2">
      <c r="B138" s="52" t="s">
        <v>331</v>
      </c>
      <c r="C138" s="156"/>
      <c r="D138" s="81" t="str">
        <f>IFERROR(VLOOKUP(C137,Materiaalit!$C$48:$D$66,2,FALSE),"Yksikkö")</f>
        <v>Yksikkö</v>
      </c>
      <c r="E138" s="33"/>
      <c r="G138" s="41"/>
      <c r="H138" s="81"/>
      <c r="J138" s="32" t="s">
        <v>332</v>
      </c>
      <c r="K138" s="92" t="str">
        <f>IFERROR(IF(ISNUMBER(L138),L138,VLOOKUP(C137,Materiaalit!$C$46:$G$66,5,FALSE)),"--")</f>
        <v>--</v>
      </c>
      <c r="L138" s="39"/>
      <c r="M138" s="396" t="str">
        <f>IF(D138="Yksikkö","--",IF(AND(D138="Oma yksikkö",ISBLANK(G138)),"Puuttuu",IF(AND(D138="Oma yksikkö",NOT(ISBLANK(G138))),"kgCO2e/" &amp; G138,"kgCO2e/" &amp; D138)))</f>
        <v>--</v>
      </c>
      <c r="N138" s="41"/>
      <c r="O138" s="261"/>
      <c r="Q138" s="34"/>
      <c r="R138" s="48" t="str">
        <f>IF(NOT(AND(ISNUMBER(K138),ISNUMBER(C138))),"",C138*K138)</f>
        <v/>
      </c>
      <c r="S138" s="98" t="s">
        <v>160</v>
      </c>
      <c r="T138" s="104"/>
      <c r="U138" s="35"/>
      <c r="V138" s="35"/>
      <c r="W138" s="35"/>
      <c r="X138" s="35"/>
      <c r="Y138" s="35"/>
      <c r="Z138" s="35"/>
      <c r="AA138" s="35"/>
      <c r="AB138" s="35"/>
      <c r="AC138" s="35"/>
      <c r="AD138" s="35"/>
      <c r="AE138" s="35"/>
      <c r="AF138" s="35"/>
      <c r="AG138" s="35"/>
      <c r="AH138" s="35"/>
      <c r="AI138" s="35"/>
      <c r="AJ138" s="35"/>
      <c r="AK138" s="35"/>
      <c r="AL138" s="35"/>
      <c r="AM138" s="35"/>
      <c r="AN138" s="36"/>
      <c r="AO138" s="36"/>
      <c r="AP138" s="36"/>
      <c r="AQ138" s="36"/>
      <c r="AR138" s="36"/>
      <c r="AS138" s="36"/>
      <c r="AT138" s="36"/>
      <c r="AU138" s="36"/>
      <c r="AV138" s="36"/>
      <c r="AW138" s="36"/>
      <c r="AX138" s="36"/>
      <c r="AY138" s="36"/>
      <c r="AZ138" s="36"/>
      <c r="BA138" s="36"/>
      <c r="BB138" s="36"/>
      <c r="BC138" s="36"/>
      <c r="BD138" s="36"/>
      <c r="BE138" s="36"/>
    </row>
    <row r="139" spans="2:59" s="30" customFormat="1" ht="15" x14ac:dyDescent="0.2">
      <c r="B139" s="160" t="s">
        <v>305</v>
      </c>
      <c r="C139" s="33"/>
      <c r="D139" s="81"/>
      <c r="G139" s="33"/>
      <c r="H139" s="81"/>
      <c r="J139" s="32"/>
      <c r="K139" s="37"/>
      <c r="L139" s="37"/>
      <c r="M139" s="37"/>
      <c r="N139" s="37"/>
      <c r="O139" s="262"/>
      <c r="Q139" s="34"/>
      <c r="R139" s="59"/>
      <c r="S139" s="35"/>
      <c r="T139" s="104"/>
      <c r="U139" s="35"/>
      <c r="V139" s="35"/>
      <c r="W139" s="35"/>
      <c r="X139" s="35"/>
      <c r="Y139" s="35"/>
      <c r="Z139" s="35"/>
      <c r="AA139" s="35"/>
      <c r="AB139" s="35"/>
      <c r="AC139" s="35"/>
      <c r="AD139" s="35"/>
      <c r="AE139" s="35"/>
      <c r="AF139" s="35"/>
      <c r="AG139" s="35"/>
      <c r="AH139" s="35"/>
      <c r="AI139" s="35"/>
      <c r="AJ139" s="35"/>
      <c r="AK139" s="35"/>
      <c r="AL139" s="35"/>
      <c r="AM139" s="35"/>
      <c r="AN139" s="36"/>
      <c r="AO139" s="36"/>
      <c r="AP139" s="36"/>
      <c r="AQ139" s="36"/>
      <c r="AR139" s="36"/>
      <c r="AS139" s="36"/>
      <c r="AT139" s="36"/>
      <c r="AU139" s="36"/>
      <c r="AV139" s="36"/>
      <c r="AW139" s="36"/>
      <c r="AX139" s="36"/>
      <c r="AY139" s="36"/>
      <c r="AZ139" s="36"/>
      <c r="BA139" s="36"/>
      <c r="BB139" s="36"/>
      <c r="BC139" s="36"/>
      <c r="BD139" s="36"/>
      <c r="BE139" s="36"/>
    </row>
    <row r="140" spans="2:59" s="30" customFormat="1" ht="60" x14ac:dyDescent="0.2">
      <c r="B140" s="76" t="s">
        <v>694</v>
      </c>
      <c r="C140" s="474" t="s">
        <v>110</v>
      </c>
      <c r="D140" s="474"/>
      <c r="G140" s="37" t="str">
        <f>IF(C140="Muu tuote tai materiaali","Muun tuotteen tai materiaalin määrän yksikkö","")</f>
        <v/>
      </c>
      <c r="H140" s="81"/>
      <c r="J140" s="32"/>
      <c r="K140" s="37" t="s">
        <v>297</v>
      </c>
      <c r="L140" s="37" t="s">
        <v>185</v>
      </c>
      <c r="M140" s="37" t="s">
        <v>287</v>
      </c>
      <c r="N140" s="37"/>
      <c r="O140" s="262"/>
      <c r="Q140" s="34"/>
      <c r="R140" s="35" t="s">
        <v>318</v>
      </c>
      <c r="S140" s="35"/>
      <c r="T140" s="104"/>
      <c r="U140" s="35"/>
      <c r="V140" s="35"/>
      <c r="W140" s="35"/>
      <c r="X140" s="35"/>
      <c r="Y140" s="35"/>
      <c r="Z140" s="35"/>
      <c r="AA140" s="35"/>
      <c r="AB140" s="35"/>
      <c r="AC140" s="35"/>
      <c r="AD140" s="35"/>
      <c r="AE140" s="35"/>
      <c r="AF140" s="35"/>
      <c r="AG140" s="35"/>
      <c r="AH140" s="35"/>
      <c r="AI140" s="35"/>
      <c r="AJ140" s="35"/>
      <c r="AK140" s="35"/>
      <c r="AL140" s="35"/>
      <c r="AM140" s="35"/>
      <c r="AN140" s="36"/>
      <c r="AO140" s="36"/>
      <c r="AP140" s="36"/>
      <c r="AQ140" s="36"/>
      <c r="AR140" s="36"/>
      <c r="AS140" s="36"/>
      <c r="AT140" s="36"/>
      <c r="AU140" s="36"/>
      <c r="AV140" s="36"/>
      <c r="AW140" s="36"/>
      <c r="AX140" s="36"/>
      <c r="AY140" s="36"/>
      <c r="AZ140" s="36"/>
      <c r="BA140" s="36"/>
      <c r="BB140" s="36"/>
      <c r="BC140" s="36"/>
      <c r="BD140" s="36"/>
      <c r="BE140" s="36"/>
    </row>
    <row r="141" spans="2:59" s="30" customFormat="1" ht="15" x14ac:dyDescent="0.2">
      <c r="B141" s="52" t="s">
        <v>331</v>
      </c>
      <c r="C141" s="156"/>
      <c r="D141" s="81" t="str">
        <f>IFERROR(VLOOKUP(C140,Materiaalit!$C$48:$D$66,2,FALSE),"Yksikkö")</f>
        <v>Yksikkö</v>
      </c>
      <c r="E141" s="33"/>
      <c r="G141" s="41"/>
      <c r="H141" s="81"/>
      <c r="J141" s="32" t="s">
        <v>332</v>
      </c>
      <c r="K141" s="92" t="str">
        <f>IFERROR(IF(ISNUMBER(L141),L141,VLOOKUP(C140,Materiaalit!$C$46:$G$66,5,FALSE)),"--")</f>
        <v>--</v>
      </c>
      <c r="L141" s="39"/>
      <c r="M141" s="396" t="str">
        <f>IF(D141="Yksikkö","--",IF(AND(D141="Oma yksikkö",ISBLANK(G141)),"Puuttuu",IF(AND(D141="Oma yksikkö",NOT(ISBLANK(G141))),"kgCO2e/" &amp; G141,"kgCO2e/" &amp; D141)))</f>
        <v>--</v>
      </c>
      <c r="N141" s="41"/>
      <c r="O141" s="261"/>
      <c r="Q141" s="34"/>
      <c r="R141" s="48" t="str">
        <f>IF(NOT(AND(ISNUMBER(K141),ISNUMBER(C141))),"",C141*K141)</f>
        <v/>
      </c>
      <c r="S141" s="98" t="s">
        <v>160</v>
      </c>
      <c r="T141" s="104"/>
      <c r="U141" s="35"/>
      <c r="V141" s="35"/>
      <c r="W141" s="35"/>
      <c r="X141" s="35"/>
      <c r="Y141" s="35"/>
      <c r="Z141" s="35"/>
      <c r="AA141" s="35"/>
      <c r="AB141" s="35"/>
      <c r="AC141" s="35"/>
      <c r="AD141" s="35"/>
      <c r="AE141" s="35"/>
      <c r="AF141" s="35"/>
      <c r="AG141" s="35"/>
      <c r="AH141" s="35"/>
      <c r="AI141" s="35"/>
      <c r="AJ141" s="35"/>
      <c r="AK141" s="35"/>
      <c r="AL141" s="35"/>
      <c r="AM141" s="35"/>
      <c r="AN141" s="36"/>
      <c r="AO141" s="36"/>
      <c r="AP141" s="36"/>
      <c r="AQ141" s="36"/>
      <c r="AR141" s="36"/>
      <c r="AS141" s="36"/>
      <c r="AT141" s="36"/>
      <c r="AU141" s="36"/>
      <c r="AV141" s="36"/>
      <c r="AW141" s="36"/>
      <c r="AX141" s="36"/>
      <c r="AY141" s="36"/>
      <c r="AZ141" s="36"/>
      <c r="BA141" s="36"/>
      <c r="BB141" s="36"/>
      <c r="BC141" s="36"/>
      <c r="BD141" s="36"/>
      <c r="BE141" s="36"/>
    </row>
    <row r="142" spans="2:59" s="30" customFormat="1" ht="15" x14ac:dyDescent="0.2">
      <c r="B142" s="160" t="s">
        <v>306</v>
      </c>
      <c r="C142" s="33"/>
      <c r="D142" s="81"/>
      <c r="G142" s="33"/>
      <c r="H142" s="81"/>
      <c r="J142" s="32"/>
      <c r="K142" s="37"/>
      <c r="L142" s="37"/>
      <c r="M142" s="37"/>
      <c r="N142" s="37"/>
      <c r="O142" s="262"/>
      <c r="Q142" s="34"/>
      <c r="R142" s="59"/>
      <c r="S142" s="35"/>
      <c r="T142" s="104"/>
      <c r="U142" s="35"/>
      <c r="V142" s="35"/>
      <c r="W142" s="35"/>
      <c r="X142" s="35"/>
      <c r="Y142" s="35"/>
      <c r="Z142" s="35"/>
      <c r="AA142" s="35"/>
      <c r="AB142" s="35"/>
      <c r="AC142" s="35"/>
      <c r="AD142" s="35"/>
      <c r="AE142" s="35"/>
      <c r="AF142" s="35"/>
      <c r="AG142" s="35"/>
      <c r="AH142" s="35"/>
      <c r="AI142" s="35"/>
      <c r="AJ142" s="35"/>
      <c r="AK142" s="35"/>
      <c r="AL142" s="35"/>
      <c r="AM142" s="35"/>
      <c r="AN142" s="36"/>
      <c r="AO142" s="36"/>
      <c r="AP142" s="36"/>
      <c r="AQ142" s="36"/>
      <c r="AR142" s="36"/>
      <c r="AS142" s="36"/>
      <c r="AT142" s="36"/>
      <c r="AU142" s="36"/>
      <c r="AV142" s="36"/>
      <c r="AW142" s="36"/>
      <c r="AX142" s="36"/>
      <c r="AY142" s="36"/>
      <c r="AZ142" s="36"/>
      <c r="BA142" s="36"/>
      <c r="BB142" s="36"/>
      <c r="BC142" s="36"/>
      <c r="BD142" s="36"/>
      <c r="BE142" s="36"/>
    </row>
    <row r="143" spans="2:59" s="30" customFormat="1" ht="60" x14ac:dyDescent="0.2">
      <c r="B143" s="76" t="s">
        <v>694</v>
      </c>
      <c r="C143" s="474" t="s">
        <v>110</v>
      </c>
      <c r="D143" s="474"/>
      <c r="G143" s="37" t="str">
        <f>IF(C143="Muu tuote tai materiaali","Muun tuotteen tai materiaalin määrän yksikkö","")</f>
        <v/>
      </c>
      <c r="H143" s="81"/>
      <c r="J143" s="32"/>
      <c r="K143" s="37" t="s">
        <v>297</v>
      </c>
      <c r="L143" s="37" t="s">
        <v>185</v>
      </c>
      <c r="M143" s="37" t="s">
        <v>287</v>
      </c>
      <c r="N143" s="37"/>
      <c r="O143" s="262"/>
      <c r="Q143" s="34"/>
      <c r="R143" s="35" t="s">
        <v>318</v>
      </c>
      <c r="S143" s="35"/>
      <c r="T143" s="104"/>
      <c r="U143" s="35"/>
      <c r="V143" s="35"/>
      <c r="W143" s="35"/>
      <c r="X143" s="35"/>
      <c r="Y143" s="35"/>
      <c r="Z143" s="35"/>
      <c r="AA143" s="35"/>
      <c r="AB143" s="35"/>
      <c r="AC143" s="35"/>
      <c r="AD143" s="35"/>
      <c r="AE143" s="35"/>
      <c r="AF143" s="35"/>
      <c r="AG143" s="35"/>
      <c r="AH143" s="35"/>
      <c r="AI143" s="35"/>
      <c r="AJ143" s="35"/>
      <c r="AK143" s="35"/>
      <c r="AL143" s="35"/>
      <c r="AM143" s="35"/>
      <c r="AN143" s="36"/>
      <c r="AO143" s="36"/>
      <c r="AP143" s="36"/>
      <c r="AQ143" s="36"/>
      <c r="AR143" s="36"/>
      <c r="AS143" s="36"/>
      <c r="AT143" s="36"/>
      <c r="AU143" s="36"/>
      <c r="AV143" s="36"/>
      <c r="AW143" s="36"/>
      <c r="AX143" s="36"/>
      <c r="AY143" s="36"/>
      <c r="AZ143" s="36"/>
      <c r="BA143" s="36"/>
      <c r="BB143" s="36"/>
      <c r="BC143" s="36"/>
      <c r="BD143" s="36"/>
      <c r="BE143" s="36"/>
    </row>
    <row r="144" spans="2:59" s="30" customFormat="1" ht="15" x14ac:dyDescent="0.2">
      <c r="B144" s="52" t="s">
        <v>331</v>
      </c>
      <c r="C144" s="156"/>
      <c r="D144" s="81" t="str">
        <f>IFERROR(VLOOKUP(C143,Materiaalit!$C$48:$D$66,2,FALSE),"Yksikkö")</f>
        <v>Yksikkö</v>
      </c>
      <c r="E144" s="33"/>
      <c r="F144" s="33"/>
      <c r="G144" s="41"/>
      <c r="H144" s="81"/>
      <c r="J144" s="32" t="s">
        <v>332</v>
      </c>
      <c r="K144" s="92" t="str">
        <f>IFERROR(IF(ISNUMBER(L144),L144,VLOOKUP(C143,Materiaalit!$C$46:$G$66,5,FALSE)),"--")</f>
        <v>--</v>
      </c>
      <c r="L144" s="39"/>
      <c r="M144" s="396" t="str">
        <f>IF(D144="Yksikkö","--",IF(AND(D144="Oma yksikkö",ISBLANK(G144)),"Puuttuu",IF(AND(D144="Oma yksikkö",NOT(ISBLANK(G144))),"kgCO2e/" &amp; G144,"kgCO2e/" &amp; D144)))</f>
        <v>--</v>
      </c>
      <c r="N144" s="41"/>
      <c r="O144" s="261"/>
      <c r="Q144" s="34"/>
      <c r="R144" s="48" t="str">
        <f>IF(NOT(AND(ISNUMBER(K144),ISNUMBER(C144))),"",C144*K144)</f>
        <v/>
      </c>
      <c r="S144" s="98" t="s">
        <v>160</v>
      </c>
      <c r="T144" s="104"/>
      <c r="U144" s="35"/>
      <c r="V144" s="35"/>
      <c r="W144" s="35"/>
      <c r="X144" s="35"/>
      <c r="Y144" s="35"/>
      <c r="Z144" s="35"/>
      <c r="AA144" s="35"/>
      <c r="AB144" s="35"/>
      <c r="AC144" s="35"/>
      <c r="AD144" s="35"/>
      <c r="AE144" s="35"/>
      <c r="AF144" s="35"/>
      <c r="AG144" s="35"/>
      <c r="AH144" s="35"/>
      <c r="AI144" s="35"/>
      <c r="AJ144" s="35"/>
      <c r="AK144" s="35"/>
      <c r="AL144" s="35"/>
      <c r="AM144" s="35"/>
      <c r="AN144" s="36"/>
      <c r="AO144" s="36"/>
      <c r="AP144" s="36"/>
      <c r="AQ144" s="36"/>
      <c r="AR144" s="36"/>
      <c r="AS144" s="36"/>
      <c r="AT144" s="36"/>
      <c r="AU144" s="36"/>
      <c r="AV144" s="36"/>
      <c r="AW144" s="36"/>
      <c r="AX144" s="36"/>
      <c r="AY144" s="36"/>
      <c r="AZ144" s="36"/>
      <c r="BA144" s="36"/>
      <c r="BB144" s="36"/>
      <c r="BC144" s="36"/>
      <c r="BD144" s="36"/>
      <c r="BE144" s="36"/>
    </row>
    <row r="145" spans="2:57" s="30" customFormat="1" ht="15" x14ac:dyDescent="0.2">
      <c r="B145" s="160" t="s">
        <v>307</v>
      </c>
      <c r="C145" s="33"/>
      <c r="D145" s="81"/>
      <c r="G145" s="33"/>
      <c r="H145" s="81"/>
      <c r="J145" s="32"/>
      <c r="K145" s="37"/>
      <c r="L145" s="37"/>
      <c r="M145" s="37"/>
      <c r="N145" s="37"/>
      <c r="O145" s="262"/>
      <c r="Q145" s="34"/>
      <c r="R145" s="59"/>
      <c r="S145" s="35"/>
      <c r="T145" s="104"/>
      <c r="U145" s="35"/>
      <c r="V145" s="35"/>
      <c r="W145" s="35"/>
      <c r="X145" s="35"/>
      <c r="Y145" s="35"/>
      <c r="Z145" s="35"/>
      <c r="AA145" s="35"/>
      <c r="AB145" s="35"/>
      <c r="AC145" s="35"/>
      <c r="AD145" s="35"/>
      <c r="AE145" s="35"/>
      <c r="AF145" s="35"/>
      <c r="AG145" s="35"/>
      <c r="AH145" s="35"/>
      <c r="AI145" s="35"/>
      <c r="AJ145" s="35"/>
      <c r="AK145" s="35"/>
      <c r="AL145" s="35"/>
      <c r="AM145" s="35"/>
      <c r="AN145" s="36"/>
      <c r="AO145" s="36"/>
      <c r="AP145" s="36"/>
      <c r="AQ145" s="36"/>
      <c r="AR145" s="36"/>
      <c r="AS145" s="36"/>
      <c r="AT145" s="36"/>
      <c r="AU145" s="36"/>
      <c r="AV145" s="36"/>
      <c r="AW145" s="36"/>
      <c r="AX145" s="36"/>
      <c r="AY145" s="36"/>
      <c r="AZ145" s="36"/>
      <c r="BA145" s="36"/>
      <c r="BB145" s="36"/>
      <c r="BC145" s="36"/>
      <c r="BD145" s="36"/>
      <c r="BE145" s="36"/>
    </row>
    <row r="146" spans="2:57" s="30" customFormat="1" ht="60" x14ac:dyDescent="0.2">
      <c r="B146" s="76" t="s">
        <v>694</v>
      </c>
      <c r="C146" s="474" t="s">
        <v>110</v>
      </c>
      <c r="D146" s="474"/>
      <c r="G146" s="37" t="str">
        <f>IF(C146="Muu tuote tai materiaali","Muun tuotteen tai materiaalin määrän yksikkö","")</f>
        <v/>
      </c>
      <c r="H146" s="81"/>
      <c r="J146" s="32"/>
      <c r="K146" s="37" t="s">
        <v>297</v>
      </c>
      <c r="L146" s="37" t="s">
        <v>185</v>
      </c>
      <c r="M146" s="37" t="s">
        <v>287</v>
      </c>
      <c r="N146" s="37"/>
      <c r="O146" s="262"/>
      <c r="Q146" s="34"/>
      <c r="R146" s="35" t="s">
        <v>318</v>
      </c>
      <c r="S146" s="35"/>
      <c r="T146" s="104"/>
      <c r="U146" s="35"/>
      <c r="V146" s="35"/>
      <c r="W146" s="35"/>
      <c r="X146" s="35"/>
      <c r="Y146" s="35"/>
      <c r="Z146" s="35"/>
      <c r="AA146" s="35"/>
      <c r="AB146" s="35"/>
      <c r="AC146" s="35"/>
      <c r="AD146" s="35"/>
      <c r="AE146" s="35"/>
      <c r="AF146" s="35"/>
      <c r="AG146" s="35"/>
      <c r="AH146" s="35"/>
      <c r="AI146" s="35"/>
      <c r="AJ146" s="35"/>
      <c r="AK146" s="35"/>
      <c r="AL146" s="35"/>
      <c r="AM146" s="35"/>
      <c r="AN146" s="36"/>
      <c r="AO146" s="36"/>
      <c r="AP146" s="36"/>
      <c r="AQ146" s="36"/>
      <c r="AR146" s="36"/>
      <c r="AS146" s="36"/>
      <c r="AT146" s="36"/>
      <c r="AU146" s="36"/>
      <c r="AV146" s="36"/>
      <c r="AW146" s="36"/>
      <c r="AX146" s="36"/>
      <c r="AY146" s="36"/>
      <c r="AZ146" s="36"/>
      <c r="BA146" s="36"/>
      <c r="BB146" s="36"/>
      <c r="BC146" s="36"/>
      <c r="BD146" s="36"/>
      <c r="BE146" s="36"/>
    </row>
    <row r="147" spans="2:57" s="30" customFormat="1" ht="15" x14ac:dyDescent="0.2">
      <c r="B147" s="52" t="s">
        <v>547</v>
      </c>
      <c r="C147" s="156"/>
      <c r="D147" s="81" t="str">
        <f>IFERROR(VLOOKUP(C146,Materiaalit!$C$48:$D$66,2,FALSE),"Yksikkö")</f>
        <v>Yksikkö</v>
      </c>
      <c r="E147" s="33"/>
      <c r="G147" s="41"/>
      <c r="H147" s="81"/>
      <c r="J147" s="32" t="s">
        <v>332</v>
      </c>
      <c r="K147" s="92" t="str">
        <f>IFERROR(IF(ISNUMBER(L147),L147,VLOOKUP(C146,Materiaalit!$C$46:$G$66,5,FALSE)),"--")</f>
        <v>--</v>
      </c>
      <c r="L147" s="39"/>
      <c r="M147" s="396" t="str">
        <f>IF(D147="Yksikkö","--",IF(AND(D147="Oma yksikkö",ISBLANK(G147)),"Puuttuu",IF(AND(D147="Oma yksikkö",NOT(ISBLANK(G147))),"kgCO2e/" &amp; G147,"kgCO2e/" &amp; D147)))</f>
        <v>--</v>
      </c>
      <c r="N147" s="41"/>
      <c r="O147" s="261"/>
      <c r="Q147" s="34"/>
      <c r="R147" s="48" t="str">
        <f>IF(NOT(AND(ISNUMBER(K147),ISNUMBER(C147))),"",C147*K147)</f>
        <v/>
      </c>
      <c r="S147" s="98" t="s">
        <v>160</v>
      </c>
      <c r="T147" s="104"/>
      <c r="U147" s="35"/>
      <c r="V147" s="35"/>
      <c r="W147" s="35"/>
      <c r="X147" s="35"/>
      <c r="Y147" s="35"/>
      <c r="Z147" s="35"/>
      <c r="AA147" s="35"/>
      <c r="AB147" s="35"/>
      <c r="AC147" s="35"/>
      <c r="AD147" s="35"/>
      <c r="AE147" s="35"/>
      <c r="AF147" s="35"/>
      <c r="AG147" s="35"/>
      <c r="AH147" s="35"/>
      <c r="AI147" s="35"/>
      <c r="AJ147" s="35"/>
      <c r="AK147" s="35"/>
      <c r="AL147" s="35"/>
      <c r="AM147" s="35"/>
      <c r="AN147" s="36"/>
      <c r="AO147" s="36"/>
      <c r="AP147" s="36"/>
      <c r="AQ147" s="36"/>
      <c r="AR147" s="36"/>
      <c r="AS147" s="36"/>
      <c r="AT147" s="36"/>
      <c r="AU147" s="36"/>
      <c r="AV147" s="36"/>
      <c r="AW147" s="36"/>
      <c r="AX147" s="36"/>
      <c r="AY147" s="36"/>
      <c r="AZ147" s="36"/>
      <c r="BA147" s="36"/>
      <c r="BB147" s="36"/>
      <c r="BC147" s="36"/>
      <c r="BD147" s="36"/>
      <c r="BE147" s="36"/>
    </row>
    <row r="148" spans="2:57" s="30" customFormat="1" ht="15" x14ac:dyDescent="0.2">
      <c r="C148" s="33"/>
      <c r="D148" s="81"/>
      <c r="G148" s="33"/>
      <c r="H148" s="81"/>
      <c r="J148" s="32"/>
      <c r="K148" s="33"/>
      <c r="L148" s="33"/>
      <c r="M148" s="81"/>
      <c r="N148" s="81"/>
      <c r="O148" s="81"/>
      <c r="Q148" s="34"/>
      <c r="R148" s="95"/>
      <c r="S148" s="35"/>
      <c r="T148" s="35"/>
      <c r="U148" s="35"/>
      <c r="V148" s="35"/>
      <c r="W148" s="35"/>
      <c r="X148" s="35"/>
      <c r="Y148" s="35"/>
      <c r="Z148" s="35"/>
      <c r="AA148" s="35"/>
      <c r="AB148" s="35"/>
      <c r="AC148" s="35"/>
      <c r="AD148" s="35"/>
      <c r="AE148" s="35"/>
      <c r="AF148" s="35"/>
      <c r="AG148" s="35"/>
      <c r="AH148" s="35"/>
      <c r="AI148" s="35"/>
      <c r="AJ148" s="35"/>
      <c r="AK148" s="35"/>
      <c r="AL148" s="35"/>
      <c r="AM148" s="35"/>
      <c r="AN148" s="36"/>
      <c r="AO148" s="36"/>
      <c r="AP148" s="36"/>
      <c r="AQ148" s="36"/>
      <c r="AR148" s="36"/>
      <c r="AS148" s="36"/>
      <c r="AT148" s="36"/>
      <c r="AU148" s="36"/>
      <c r="AV148" s="36"/>
      <c r="AW148" s="36"/>
      <c r="AX148" s="36"/>
      <c r="AY148" s="36"/>
      <c r="AZ148" s="36"/>
      <c r="BA148" s="36"/>
      <c r="BB148" s="36"/>
      <c r="BC148" s="36"/>
      <c r="BD148" s="36"/>
      <c r="BE148" s="36"/>
    </row>
    <row r="149" spans="2:57" s="289" customFormat="1" ht="18" x14ac:dyDescent="0.2">
      <c r="B149" s="286" t="s">
        <v>286</v>
      </c>
      <c r="C149" s="287"/>
      <c r="D149" s="288"/>
      <c r="G149" s="287"/>
      <c r="H149" s="288"/>
      <c r="K149" s="287"/>
      <c r="L149" s="287"/>
      <c r="M149" s="288"/>
      <c r="N149" s="288"/>
      <c r="O149" s="291"/>
      <c r="P149" s="311"/>
      <c r="Q149" s="295"/>
      <c r="S149" s="294"/>
      <c r="T149" s="294"/>
      <c r="U149" s="294"/>
      <c r="V149" s="294"/>
      <c r="W149" s="294"/>
      <c r="X149" s="294"/>
      <c r="Y149" s="294"/>
      <c r="Z149" s="294"/>
      <c r="AA149" s="294"/>
      <c r="AB149" s="294"/>
      <c r="AC149" s="294"/>
      <c r="AD149" s="294"/>
      <c r="AE149" s="294"/>
      <c r="AF149" s="294"/>
      <c r="AG149" s="294"/>
      <c r="AH149" s="294"/>
      <c r="AI149" s="294"/>
      <c r="AJ149" s="294"/>
      <c r="AK149" s="294"/>
      <c r="AL149" s="294"/>
      <c r="AM149" s="294"/>
      <c r="AN149" s="295"/>
      <c r="AO149" s="295"/>
      <c r="AP149" s="295"/>
      <c r="AQ149" s="295"/>
      <c r="AR149" s="295"/>
      <c r="AS149" s="295"/>
      <c r="AT149" s="295"/>
      <c r="AU149" s="295"/>
      <c r="AV149" s="295"/>
      <c r="AW149" s="295"/>
      <c r="AX149" s="295"/>
      <c r="AY149" s="295"/>
      <c r="AZ149" s="295"/>
      <c r="BA149" s="295"/>
      <c r="BB149" s="295"/>
      <c r="BC149" s="295"/>
      <c r="BD149" s="295"/>
      <c r="BE149" s="295"/>
    </row>
    <row r="150" spans="2:57" s="30" customFormat="1" ht="15.75" x14ac:dyDescent="0.2">
      <c r="B150" s="8"/>
      <c r="C150" s="33"/>
      <c r="D150" s="81"/>
      <c r="G150" s="33"/>
      <c r="H150" s="81"/>
      <c r="J150" s="32"/>
      <c r="K150" s="33"/>
      <c r="L150" s="33"/>
      <c r="M150" s="81"/>
      <c r="N150" s="81"/>
      <c r="O150" s="249" t="s">
        <v>584</v>
      </c>
      <c r="Q150" s="34"/>
      <c r="R150" s="95"/>
      <c r="S150" s="35"/>
      <c r="T150" s="35"/>
      <c r="U150" s="35"/>
      <c r="V150" s="35"/>
      <c r="W150" s="35"/>
      <c r="X150" s="35"/>
      <c r="Y150" s="35"/>
      <c r="Z150" s="35"/>
      <c r="AA150" s="35"/>
      <c r="AB150" s="35"/>
      <c r="AC150" s="35"/>
      <c r="AD150" s="35"/>
      <c r="AE150" s="35"/>
      <c r="AF150" s="35"/>
      <c r="AG150" s="35"/>
      <c r="AH150" s="35"/>
      <c r="AI150" s="35"/>
      <c r="AJ150" s="35"/>
      <c r="AK150" s="35"/>
      <c r="AL150" s="35"/>
      <c r="AM150" s="35"/>
      <c r="AN150" s="36"/>
      <c r="AO150" s="36"/>
      <c r="AP150" s="36"/>
      <c r="AQ150" s="36"/>
      <c r="AR150" s="36"/>
      <c r="AS150" s="36"/>
      <c r="AT150" s="36"/>
      <c r="AU150" s="36"/>
      <c r="AV150" s="36"/>
      <c r="AW150" s="36"/>
      <c r="AX150" s="36"/>
      <c r="AY150" s="36"/>
      <c r="AZ150" s="36"/>
      <c r="BA150" s="36"/>
      <c r="BB150" s="36"/>
      <c r="BC150" s="36"/>
      <c r="BD150" s="36"/>
      <c r="BE150" s="36"/>
    </row>
    <row r="151" spans="2:57" s="30" customFormat="1" ht="45.75" customHeight="1" x14ac:dyDescent="0.2">
      <c r="B151" s="477" t="s">
        <v>516</v>
      </c>
      <c r="C151" s="477"/>
      <c r="D151" s="477"/>
      <c r="E151" s="477"/>
      <c r="F151" s="477"/>
      <c r="G151" s="477"/>
      <c r="H151" s="477"/>
      <c r="J151" s="32"/>
      <c r="K151" s="41"/>
      <c r="L151" s="41"/>
      <c r="M151" s="40"/>
      <c r="N151" s="40"/>
      <c r="O151" s="250"/>
      <c r="Q151" s="34"/>
      <c r="R151" s="59"/>
      <c r="S151" s="98"/>
      <c r="T151" s="35"/>
      <c r="U151" s="35"/>
      <c r="V151" s="43"/>
      <c r="W151" s="35"/>
      <c r="X151" s="43"/>
      <c r="Y151" s="43"/>
      <c r="Z151" s="43"/>
      <c r="AA151" s="35"/>
      <c r="AB151" s="104"/>
      <c r="AC151" s="35"/>
      <c r="AD151" s="35"/>
      <c r="AE151" s="35"/>
      <c r="AF151" s="35"/>
      <c r="AG151" s="35"/>
      <c r="AH151" s="35"/>
      <c r="AI151" s="35"/>
      <c r="AJ151" s="35"/>
      <c r="AK151" s="35"/>
      <c r="AL151" s="35"/>
      <c r="AM151" s="35"/>
      <c r="AN151" s="36"/>
      <c r="AO151" s="36"/>
      <c r="AP151" s="36"/>
      <c r="AQ151" s="36"/>
      <c r="AR151" s="36"/>
      <c r="AS151" s="36"/>
      <c r="AT151" s="36"/>
      <c r="AU151" s="36"/>
      <c r="AV151" s="36"/>
      <c r="AW151" s="36"/>
      <c r="AX151" s="36"/>
      <c r="AY151" s="36"/>
      <c r="AZ151" s="36"/>
      <c r="BA151" s="36"/>
      <c r="BB151" s="36"/>
      <c r="BC151" s="36"/>
      <c r="BD151" s="36"/>
      <c r="BE151" s="36"/>
    </row>
    <row r="152" spans="2:57" s="30" customFormat="1" ht="60.75" customHeight="1" x14ac:dyDescent="0.2">
      <c r="B152" s="477" t="s">
        <v>661</v>
      </c>
      <c r="C152" s="477"/>
      <c r="D152" s="477"/>
      <c r="E152" s="477"/>
      <c r="F152" s="477"/>
      <c r="G152" s="477"/>
      <c r="H152" s="477"/>
      <c r="J152" s="32"/>
      <c r="K152" s="41"/>
      <c r="L152" s="41"/>
      <c r="M152" s="40"/>
      <c r="N152" s="40"/>
      <c r="O152" s="250"/>
      <c r="Q152" s="34"/>
      <c r="R152" s="59"/>
      <c r="S152" s="98"/>
      <c r="T152" s="35"/>
      <c r="U152" s="35"/>
      <c r="V152" s="43"/>
      <c r="W152" s="35"/>
      <c r="X152" s="43"/>
      <c r="Y152" s="43"/>
      <c r="Z152" s="43"/>
      <c r="AA152" s="35"/>
      <c r="AB152" s="104"/>
      <c r="AC152" s="35"/>
      <c r="AD152" s="35"/>
      <c r="AE152" s="35"/>
      <c r="AF152" s="35"/>
      <c r="AG152" s="35"/>
      <c r="AH152" s="35"/>
      <c r="AI152" s="35"/>
      <c r="AJ152" s="35"/>
      <c r="AK152" s="35"/>
      <c r="AL152" s="35"/>
      <c r="AM152" s="35"/>
      <c r="AN152" s="36"/>
      <c r="AO152" s="36"/>
      <c r="AP152" s="36"/>
      <c r="AQ152" s="36"/>
      <c r="AR152" s="36"/>
      <c r="AS152" s="36"/>
      <c r="AT152" s="36"/>
      <c r="AU152" s="36"/>
      <c r="AV152" s="36"/>
      <c r="AW152" s="36"/>
      <c r="AX152" s="36"/>
      <c r="AY152" s="36"/>
      <c r="AZ152" s="36"/>
      <c r="BA152" s="36"/>
      <c r="BB152" s="36"/>
      <c r="BC152" s="36"/>
      <c r="BD152" s="36"/>
      <c r="BE152" s="36"/>
    </row>
    <row r="153" spans="2:57" s="30" customFormat="1" ht="15.75" x14ac:dyDescent="0.2">
      <c r="B153" s="8"/>
      <c r="C153" s="33"/>
      <c r="D153" s="81"/>
      <c r="G153" s="33"/>
      <c r="H153" s="81"/>
      <c r="J153" s="32"/>
      <c r="K153" s="33"/>
      <c r="L153" s="33"/>
      <c r="M153" s="81"/>
      <c r="N153" s="81"/>
      <c r="O153" s="96"/>
      <c r="Q153" s="34"/>
      <c r="R153" s="95"/>
      <c r="S153" s="35"/>
      <c r="T153" s="35"/>
      <c r="U153" s="35"/>
      <c r="V153" s="35"/>
      <c r="W153" s="35"/>
      <c r="X153" s="35"/>
      <c r="Y153" s="35"/>
      <c r="Z153" s="35"/>
      <c r="AA153" s="35"/>
      <c r="AB153" s="35"/>
      <c r="AC153" s="35"/>
      <c r="AD153" s="35"/>
      <c r="AE153" s="35"/>
      <c r="AF153" s="35"/>
      <c r="AG153" s="35"/>
      <c r="AH153" s="35"/>
      <c r="AI153" s="35"/>
      <c r="AJ153" s="35"/>
      <c r="AK153" s="35"/>
      <c r="AL153" s="35"/>
      <c r="AM153" s="35"/>
      <c r="AN153" s="36"/>
      <c r="AO153" s="36"/>
      <c r="AP153" s="36"/>
      <c r="AQ153" s="36"/>
      <c r="AR153" s="36"/>
      <c r="AS153" s="36"/>
      <c r="AT153" s="36"/>
      <c r="AU153" s="36"/>
      <c r="AV153" s="36"/>
      <c r="AW153" s="36"/>
      <c r="AX153" s="36"/>
      <c r="AY153" s="36"/>
      <c r="AZ153" s="36"/>
      <c r="BA153" s="36"/>
      <c r="BB153" s="36"/>
      <c r="BC153" s="36"/>
      <c r="BD153" s="36"/>
      <c r="BE153" s="36"/>
    </row>
    <row r="154" spans="2:57" s="30" customFormat="1" ht="15.75" x14ac:dyDescent="0.2">
      <c r="B154" s="8" t="str">
        <f>B133</f>
        <v>Kemikaali-, tuote- tai materiaalilaji 1</v>
      </c>
      <c r="C154" s="33"/>
      <c r="D154" s="81"/>
      <c r="G154" s="33"/>
      <c r="H154" s="81"/>
      <c r="J154" s="32"/>
      <c r="K154" s="33"/>
      <c r="L154" s="33"/>
      <c r="M154" s="81"/>
      <c r="N154" s="81"/>
      <c r="O154" s="96"/>
      <c r="Q154" s="34"/>
      <c r="R154" s="35" t="s">
        <v>318</v>
      </c>
      <c r="S154" s="35"/>
      <c r="T154" s="35"/>
      <c r="U154" s="35"/>
      <c r="V154" s="35"/>
      <c r="W154" s="35"/>
      <c r="X154" s="35"/>
      <c r="Y154" s="35"/>
      <c r="Z154" s="35"/>
      <c r="AA154" s="35"/>
      <c r="AB154" s="104"/>
      <c r="AC154" s="35"/>
      <c r="AD154" s="35"/>
      <c r="AE154" s="35"/>
      <c r="AF154" s="35"/>
      <c r="AG154" s="35"/>
      <c r="AH154" s="35"/>
      <c r="AI154" s="35"/>
      <c r="AJ154" s="35"/>
      <c r="AK154" s="35"/>
      <c r="AL154" s="35"/>
      <c r="AM154" s="35"/>
      <c r="AN154" s="36"/>
      <c r="AO154" s="36"/>
      <c r="AP154" s="36"/>
      <c r="AQ154" s="36"/>
      <c r="AR154" s="36"/>
      <c r="AS154" s="36"/>
      <c r="AT154" s="36"/>
      <c r="AU154" s="36"/>
      <c r="AV154" s="36"/>
      <c r="AW154" s="36"/>
      <c r="AX154" s="36"/>
      <c r="AY154" s="36"/>
      <c r="AZ154" s="36"/>
      <c r="BA154" s="36"/>
      <c r="BB154" s="36"/>
      <c r="BC154" s="36"/>
      <c r="BD154" s="36"/>
      <c r="BE154" s="36"/>
    </row>
    <row r="155" spans="2:57" s="30" customFormat="1" ht="15" x14ac:dyDescent="0.2">
      <c r="B155" s="52" t="s">
        <v>340</v>
      </c>
      <c r="C155" s="152"/>
      <c r="D155" s="81" t="s">
        <v>252</v>
      </c>
      <c r="G155" s="33" t="s">
        <v>308</v>
      </c>
      <c r="H155" s="81"/>
      <c r="J155" s="32"/>
      <c r="K155" s="37" t="s">
        <v>297</v>
      </c>
      <c r="L155" s="37" t="s">
        <v>185</v>
      </c>
      <c r="M155" s="81"/>
      <c r="N155" s="81"/>
      <c r="O155" s="96"/>
      <c r="Q155" s="34"/>
      <c r="R155" s="48" t="str">
        <f>IF(AND(ISNUMBER(G156),ISNUMBER(C155)),SUM(R156,R159:R161),"")</f>
        <v/>
      </c>
      <c r="S155" s="98" t="s">
        <v>160</v>
      </c>
      <c r="T155" s="35"/>
      <c r="U155" s="35"/>
      <c r="V155" s="35"/>
      <c r="W155" s="35"/>
      <c r="X155" s="35"/>
      <c r="Y155" s="35"/>
      <c r="Z155" s="35"/>
      <c r="AA155" s="35"/>
      <c r="AB155" s="104"/>
      <c r="AC155" s="35"/>
      <c r="AD155" s="35"/>
      <c r="AE155" s="35"/>
      <c r="AF155" s="35"/>
      <c r="AG155" s="35"/>
      <c r="AH155" s="35"/>
      <c r="AI155" s="35"/>
      <c r="AJ155" s="35"/>
      <c r="AK155" s="35"/>
      <c r="AL155" s="35"/>
      <c r="AM155" s="35"/>
      <c r="AN155" s="36"/>
      <c r="AO155" s="36"/>
      <c r="AP155" s="36"/>
      <c r="AQ155" s="36"/>
      <c r="AR155" s="36"/>
      <c r="AS155" s="36"/>
      <c r="AT155" s="36"/>
      <c r="AU155" s="36"/>
      <c r="AV155" s="36"/>
      <c r="AW155" s="36"/>
      <c r="AX155" s="36"/>
      <c r="AY155" s="36"/>
      <c r="AZ155" s="36"/>
      <c r="BA155" s="36"/>
      <c r="BB155" s="36"/>
      <c r="BC155" s="36"/>
      <c r="BD155" s="36"/>
      <c r="BE155" s="36"/>
    </row>
    <row r="156" spans="2:57" s="30" customFormat="1" ht="30" x14ac:dyDescent="0.2">
      <c r="B156" s="151" t="s">
        <v>660</v>
      </c>
      <c r="C156" s="475" t="s">
        <v>253</v>
      </c>
      <c r="D156" s="476"/>
      <c r="G156" s="152"/>
      <c r="H156" s="81" t="s">
        <v>5</v>
      </c>
      <c r="J156" s="169" t="s">
        <v>395</v>
      </c>
      <c r="K156" s="92" t="str">
        <f>IFERROR(IF(ISNUMBER(L156),L156,(VLOOKUP(C157,Kalusto!$C$45:$G$84,5,FALSE)*(VLOOKUP(C158,Muut!$D$40:$E$43,2,FALSE)))),"--")</f>
        <v>--</v>
      </c>
      <c r="L156" s="39"/>
      <c r="M156" s="40" t="s">
        <v>184</v>
      </c>
      <c r="N156" s="40"/>
      <c r="O156" s="259"/>
      <c r="Q156" s="34"/>
      <c r="R156" s="48" t="str">
        <f>IF(ISNUMBER(Y157*X157*K156),Y157*X157*K156,"")</f>
        <v/>
      </c>
      <c r="S156" s="98" t="s">
        <v>160</v>
      </c>
      <c r="T156" s="35" t="s">
        <v>400</v>
      </c>
      <c r="U156" s="35" t="s">
        <v>349</v>
      </c>
      <c r="V156" s="43" t="s">
        <v>397</v>
      </c>
      <c r="W156" s="35" t="s">
        <v>398</v>
      </c>
      <c r="X156" s="43" t="s">
        <v>401</v>
      </c>
      <c r="Y156" s="43" t="s">
        <v>403</v>
      </c>
      <c r="Z156" s="43" t="s">
        <v>339</v>
      </c>
      <c r="AA156" s="35"/>
      <c r="AB156" s="104"/>
      <c r="AC156" s="35"/>
      <c r="AD156" s="35"/>
      <c r="AE156" s="35"/>
      <c r="AF156" s="35"/>
      <c r="AG156" s="35"/>
      <c r="AH156" s="35"/>
      <c r="AI156" s="35"/>
      <c r="AJ156" s="35"/>
      <c r="AK156" s="35"/>
      <c r="AL156" s="35"/>
      <c r="AM156" s="35"/>
      <c r="AN156" s="36"/>
      <c r="AO156" s="36"/>
      <c r="AP156" s="36"/>
      <c r="AQ156" s="36"/>
      <c r="AR156" s="36"/>
      <c r="AS156" s="36"/>
      <c r="AT156" s="36"/>
      <c r="AU156" s="36"/>
      <c r="AV156" s="36"/>
      <c r="AW156" s="36"/>
      <c r="AX156" s="36"/>
      <c r="AY156" s="36"/>
      <c r="AZ156" s="36"/>
      <c r="BA156" s="36"/>
      <c r="BB156" s="36"/>
      <c r="BC156" s="36"/>
      <c r="BD156" s="36"/>
      <c r="BE156" s="36"/>
    </row>
    <row r="157" spans="2:57" s="30" customFormat="1" ht="30" x14ac:dyDescent="0.2">
      <c r="B157" s="76" t="s">
        <v>479</v>
      </c>
      <c r="C157" s="471" t="s">
        <v>298</v>
      </c>
      <c r="D157" s="472"/>
      <c r="E157" s="472"/>
      <c r="F157" s="472"/>
      <c r="G157" s="473"/>
      <c r="J157" s="32"/>
      <c r="K157" s="37"/>
      <c r="L157" s="37"/>
      <c r="M157" s="40"/>
      <c r="N157" s="40"/>
      <c r="O157" s="259"/>
      <c r="Q157" s="45"/>
      <c r="R157" s="104"/>
      <c r="S157" s="35"/>
      <c r="T157" s="46" t="str">
        <f>IFERROR(IF(ISNUMBER(L156),"Kohdetieto",VLOOKUP(C157,Kalusto!$C$45:$L$84,7,FALSE)),"--")</f>
        <v>--</v>
      </c>
      <c r="U157" s="46" t="str">
        <f>IFERROR(IF(ISNUMBER(L156),"Kohdetieto",VLOOKUP(C157,Kalusto!$C$45:$L$84,8,FALSE)),"--")</f>
        <v>--</v>
      </c>
      <c r="V157" s="47" t="str">
        <f>IFERROR(IF(ISNUMBER(L156),"Kohdetieto",VLOOKUP(C157,Kalusto!$C$45:$L$84,9,FALSE)),"--")</f>
        <v>--</v>
      </c>
      <c r="W157" s="47" t="str">
        <f>IFERROR(IF(ISNUMBER(L156),"Kohdetieto",VLOOKUP(C157,Kalusto!$C$45:$L$84,10,FALSE)),"--")</f>
        <v>--</v>
      </c>
      <c r="X157" s="48" t="str">
        <f>IF(ISBLANK(C155),"",C155/1000)</f>
        <v/>
      </c>
      <c r="Y157" s="46" t="str">
        <f>IF(ISNUMBER(G156),G156,"")</f>
        <v/>
      </c>
      <c r="Z157" s="49" t="str">
        <f>IF(ISNUMBER(L156),L156,K156)</f>
        <v>--</v>
      </c>
      <c r="AA157" s="35"/>
      <c r="AB157" s="104"/>
      <c r="AC157" s="35"/>
      <c r="AD157" s="35"/>
      <c r="AE157" s="35"/>
      <c r="AF157" s="35"/>
      <c r="AG157" s="35"/>
      <c r="AH157" s="35"/>
      <c r="AI157" s="35"/>
      <c r="AJ157" s="35"/>
      <c r="AK157" s="35"/>
      <c r="AL157" s="35"/>
      <c r="AM157" s="35"/>
      <c r="AN157" s="36"/>
      <c r="AO157" s="36"/>
      <c r="AP157" s="36"/>
      <c r="AQ157" s="36"/>
      <c r="AR157" s="36"/>
      <c r="AS157" s="36"/>
      <c r="AT157" s="36"/>
      <c r="AU157" s="36"/>
      <c r="AV157" s="36"/>
      <c r="AW157" s="36"/>
      <c r="AX157" s="36"/>
      <c r="AY157" s="36"/>
      <c r="AZ157" s="36"/>
      <c r="BA157" s="36"/>
      <c r="BB157" s="36"/>
      <c r="BC157" s="36"/>
      <c r="BD157" s="36"/>
      <c r="BE157" s="36"/>
    </row>
    <row r="158" spans="2:57" s="30" customFormat="1" ht="15" x14ac:dyDescent="0.2">
      <c r="B158" s="76" t="s">
        <v>457</v>
      </c>
      <c r="C158" s="156" t="s">
        <v>309</v>
      </c>
      <c r="D158" s="33"/>
      <c r="E158" s="33"/>
      <c r="F158" s="33"/>
      <c r="G158" s="33"/>
      <c r="H158" s="57"/>
      <c r="J158" s="169"/>
      <c r="K158" s="37" t="s">
        <v>297</v>
      </c>
      <c r="L158" s="37" t="s">
        <v>185</v>
      </c>
      <c r="M158" s="40"/>
      <c r="N158" s="40"/>
      <c r="O158" s="259"/>
      <c r="Q158" s="45"/>
      <c r="R158" s="35"/>
      <c r="S158" s="35"/>
      <c r="T158" s="35"/>
      <c r="U158" s="35"/>
      <c r="V158" s="177"/>
      <c r="W158" s="177"/>
      <c r="X158" s="59"/>
      <c r="Y158" s="35"/>
      <c r="Z158" s="59"/>
      <c r="AA158" s="178"/>
      <c r="AB158" s="59"/>
      <c r="AC158" s="59"/>
      <c r="AD158" s="59"/>
      <c r="AE158" s="59"/>
      <c r="AF158" s="178"/>
      <c r="AG158" s="59"/>
      <c r="AH158" s="35"/>
      <c r="AI158" s="35"/>
      <c r="AJ158" s="35"/>
      <c r="AK158" s="104"/>
      <c r="AL158" s="35"/>
      <c r="AM158" s="35"/>
      <c r="AN158" s="36"/>
      <c r="AO158" s="36"/>
      <c r="AP158" s="36"/>
      <c r="AQ158" s="36"/>
      <c r="AR158" s="36"/>
      <c r="AS158" s="36"/>
      <c r="AT158" s="36"/>
      <c r="AU158" s="36"/>
      <c r="AV158" s="36"/>
      <c r="AW158" s="36"/>
      <c r="AX158" s="36"/>
      <c r="AY158" s="36"/>
      <c r="AZ158" s="36"/>
      <c r="BA158" s="36"/>
      <c r="BB158" s="36"/>
      <c r="BC158" s="36"/>
      <c r="BD158" s="36"/>
      <c r="BE158" s="36"/>
    </row>
    <row r="159" spans="2:57" s="30" customFormat="1" ht="15" x14ac:dyDescent="0.2">
      <c r="B159" s="151" t="s">
        <v>491</v>
      </c>
      <c r="C159" s="474" t="s">
        <v>739</v>
      </c>
      <c r="D159" s="474"/>
      <c r="E159" s="165"/>
      <c r="G159" s="152"/>
      <c r="H159" s="81" t="s">
        <v>5</v>
      </c>
      <c r="J159" s="32" t="str">
        <f>IFERROR(VLOOKUP(C159,Kalusto!$B$107:$C$110,2,FALSE),"Valitse kuljetustapa")</f>
        <v>Valitse kuljetustapa</v>
      </c>
      <c r="K159" s="92" t="str">
        <f>IFERROR(IF(ISNUMBER(L159),L159,VLOOKUP(J159,Kalusto!$C$107:$G$110,5,FALSE)),"--")</f>
        <v>--</v>
      </c>
      <c r="L159" s="39"/>
      <c r="M159" s="40" t="s">
        <v>184</v>
      </c>
      <c r="N159" s="40"/>
      <c r="O159" s="259"/>
      <c r="Q159" s="34"/>
      <c r="R159" s="48" t="str">
        <f>IF(AND(ISNUMBER(G159)*ISNUMBER(C155)),K159*G159*X157,"")</f>
        <v/>
      </c>
      <c r="S159" s="98" t="s">
        <v>160</v>
      </c>
      <c r="T159" s="35"/>
      <c r="U159" s="35"/>
      <c r="V159" s="35"/>
      <c r="W159" s="35"/>
      <c r="X159" s="35"/>
      <c r="Y159" s="35"/>
      <c r="Z159" s="35"/>
      <c r="AA159" s="35"/>
      <c r="AB159" s="104"/>
      <c r="AC159" s="35"/>
      <c r="AD159" s="35"/>
      <c r="AE159" s="35"/>
      <c r="AF159" s="35"/>
      <c r="AG159" s="35"/>
      <c r="AH159" s="35"/>
      <c r="AI159" s="35"/>
      <c r="AJ159" s="35"/>
      <c r="AK159" s="35"/>
      <c r="AL159" s="35"/>
      <c r="AM159" s="35"/>
      <c r="AN159" s="36"/>
      <c r="AO159" s="36"/>
      <c r="AP159" s="36"/>
      <c r="AQ159" s="36"/>
      <c r="AR159" s="36"/>
      <c r="AS159" s="36"/>
      <c r="AT159" s="36"/>
      <c r="AU159" s="36"/>
      <c r="AV159" s="36"/>
      <c r="AW159" s="36"/>
      <c r="AX159" s="36"/>
      <c r="AY159" s="36"/>
      <c r="AZ159" s="36"/>
      <c r="BA159" s="36"/>
      <c r="BB159" s="36"/>
      <c r="BC159" s="36"/>
      <c r="BD159" s="36"/>
      <c r="BE159" s="36"/>
    </row>
    <row r="160" spans="2:57" s="30" customFormat="1" ht="15" x14ac:dyDescent="0.2">
      <c r="B160" s="151" t="s">
        <v>491</v>
      </c>
      <c r="C160" s="474" t="s">
        <v>739</v>
      </c>
      <c r="D160" s="474"/>
      <c r="E160" s="165"/>
      <c r="G160" s="152"/>
      <c r="H160" s="81" t="s">
        <v>5</v>
      </c>
      <c r="J160" s="32" t="str">
        <f>IFERROR(VLOOKUP(C160,Kalusto!$B$107:$C$110,2,FALSE),"Valitse kuljetustapa")</f>
        <v>Valitse kuljetustapa</v>
      </c>
      <c r="K160" s="92" t="str">
        <f>IFERROR(IF(ISNUMBER(L160),L160,VLOOKUP(J160,Kalusto!$C$107:$G$110,5,FALSE)),"--")</f>
        <v>--</v>
      </c>
      <c r="L160" s="39"/>
      <c r="M160" s="40" t="s">
        <v>184</v>
      </c>
      <c r="N160" s="40"/>
      <c r="O160" s="259"/>
      <c r="Q160" s="34"/>
      <c r="R160" s="48" t="str">
        <f>IF(AND(ISNUMBER(G160)*ISNUMBER(C155)),K160*G160*X157,"")</f>
        <v/>
      </c>
      <c r="S160" s="98" t="s">
        <v>160</v>
      </c>
      <c r="T160" s="35"/>
      <c r="U160" s="35"/>
      <c r="V160" s="35"/>
      <c r="W160" s="35"/>
      <c r="X160" s="35"/>
      <c r="Y160" s="35"/>
      <c r="Z160" s="35"/>
      <c r="AA160" s="35"/>
      <c r="AB160" s="104"/>
      <c r="AC160" s="35"/>
      <c r="AD160" s="35"/>
      <c r="AE160" s="35"/>
      <c r="AF160" s="35"/>
      <c r="AG160" s="35"/>
      <c r="AH160" s="35"/>
      <c r="AI160" s="35"/>
      <c r="AJ160" s="35"/>
      <c r="AK160" s="35"/>
      <c r="AL160" s="35"/>
      <c r="AM160" s="35"/>
      <c r="AN160" s="36"/>
      <c r="AO160" s="36"/>
      <c r="AP160" s="36"/>
      <c r="AQ160" s="36"/>
      <c r="AR160" s="36"/>
      <c r="AS160" s="36"/>
      <c r="AT160" s="36"/>
      <c r="AU160" s="36"/>
      <c r="AV160" s="36"/>
      <c r="AW160" s="36"/>
      <c r="AX160" s="36"/>
      <c r="AY160" s="36"/>
      <c r="AZ160" s="36"/>
      <c r="BA160" s="36"/>
      <c r="BB160" s="36"/>
      <c r="BC160" s="36"/>
      <c r="BD160" s="36"/>
      <c r="BE160" s="36"/>
    </row>
    <row r="161" spans="2:57" s="30" customFormat="1" ht="15" x14ac:dyDescent="0.2">
      <c r="B161" s="151" t="s">
        <v>491</v>
      </c>
      <c r="C161" s="474" t="s">
        <v>739</v>
      </c>
      <c r="D161" s="474"/>
      <c r="E161" s="165"/>
      <c r="G161" s="152"/>
      <c r="H161" s="81" t="s">
        <v>5</v>
      </c>
      <c r="J161" s="32" t="str">
        <f>IFERROR(VLOOKUP(C161,Kalusto!$B$107:$C$110,2,FALSE),"Valitse kuljetustapa")</f>
        <v>Valitse kuljetustapa</v>
      </c>
      <c r="K161" s="92" t="str">
        <f>IFERROR(IF(ISNUMBER(L161),L161,VLOOKUP(J161,Kalusto!$C$107:$G$110,5,FALSE)),"--")</f>
        <v>--</v>
      </c>
      <c r="L161" s="39"/>
      <c r="M161" s="40" t="s">
        <v>184</v>
      </c>
      <c r="N161" s="40"/>
      <c r="O161" s="259"/>
      <c r="Q161" s="34"/>
      <c r="R161" s="48" t="str">
        <f>IF(AND(ISNUMBER(G161)*ISNUMBER(C155)),K161*G161*X157,"")</f>
        <v/>
      </c>
      <c r="S161" s="98" t="s">
        <v>160</v>
      </c>
      <c r="T161" s="35"/>
      <c r="U161" s="35"/>
      <c r="V161" s="35"/>
      <c r="W161" s="35"/>
      <c r="X161" s="35"/>
      <c r="Y161" s="35"/>
      <c r="Z161" s="35"/>
      <c r="AA161" s="35"/>
      <c r="AB161" s="104"/>
      <c r="AC161" s="35"/>
      <c r="AD161" s="35"/>
      <c r="AE161" s="35"/>
      <c r="AF161" s="35"/>
      <c r="AG161" s="35"/>
      <c r="AH161" s="35"/>
      <c r="AI161" s="35"/>
      <c r="AJ161" s="35"/>
      <c r="AK161" s="35"/>
      <c r="AL161" s="35"/>
      <c r="AM161" s="35"/>
      <c r="AN161" s="36"/>
      <c r="AO161" s="36"/>
      <c r="AP161" s="36"/>
      <c r="AQ161" s="36"/>
      <c r="AR161" s="36"/>
      <c r="AS161" s="36"/>
      <c r="AT161" s="36"/>
      <c r="AU161" s="36"/>
      <c r="AV161" s="36"/>
      <c r="AW161" s="36"/>
      <c r="AX161" s="36"/>
      <c r="AY161" s="36"/>
      <c r="AZ161" s="36"/>
      <c r="BA161" s="36"/>
      <c r="BB161" s="36"/>
      <c r="BC161" s="36"/>
      <c r="BD161" s="36"/>
      <c r="BE161" s="36"/>
    </row>
    <row r="162" spans="2:57" s="30" customFormat="1" ht="15.75" x14ac:dyDescent="0.2">
      <c r="B162" s="8" t="str">
        <f>B136</f>
        <v>Kemikaali-, tuote- tai materiaalilaji 2</v>
      </c>
      <c r="C162" s="33"/>
      <c r="D162" s="81"/>
      <c r="G162" s="70"/>
      <c r="H162" s="81"/>
      <c r="J162" s="32"/>
      <c r="K162" s="33"/>
      <c r="L162" s="33"/>
      <c r="M162" s="81"/>
      <c r="N162" s="81"/>
      <c r="O162" s="96"/>
      <c r="Q162" s="34"/>
      <c r="R162" s="35" t="s">
        <v>318</v>
      </c>
      <c r="S162" s="35"/>
      <c r="T162" s="35"/>
      <c r="U162" s="35"/>
      <c r="V162" s="35"/>
      <c r="W162" s="35"/>
      <c r="X162" s="35"/>
      <c r="Y162" s="35"/>
      <c r="Z162" s="35"/>
      <c r="AA162" s="35"/>
      <c r="AB162" s="104"/>
      <c r="AC162" s="35"/>
      <c r="AD162" s="35"/>
      <c r="AE162" s="35"/>
      <c r="AF162" s="35"/>
      <c r="AG162" s="35"/>
      <c r="AH162" s="35"/>
      <c r="AI162" s="35"/>
      <c r="AJ162" s="35"/>
      <c r="AK162" s="35"/>
      <c r="AL162" s="35"/>
      <c r="AM162" s="35"/>
      <c r="AN162" s="36"/>
      <c r="AO162" s="36"/>
      <c r="AP162" s="36"/>
      <c r="AQ162" s="36"/>
      <c r="AR162" s="36"/>
      <c r="AS162" s="36"/>
      <c r="AT162" s="36"/>
      <c r="AU162" s="36"/>
      <c r="AV162" s="36"/>
      <c r="AW162" s="36"/>
      <c r="AX162" s="36"/>
      <c r="AY162" s="36"/>
      <c r="AZ162" s="36"/>
      <c r="BA162" s="36"/>
      <c r="BB162" s="36"/>
      <c r="BC162" s="36"/>
      <c r="BD162" s="36"/>
      <c r="BE162" s="36"/>
    </row>
    <row r="163" spans="2:57" s="30" customFormat="1" ht="15" x14ac:dyDescent="0.2">
      <c r="B163" s="52" t="s">
        <v>340</v>
      </c>
      <c r="C163" s="152"/>
      <c r="D163" s="81" t="s">
        <v>252</v>
      </c>
      <c r="G163" s="33"/>
      <c r="H163" s="81"/>
      <c r="J163" s="32"/>
      <c r="K163" s="37" t="s">
        <v>297</v>
      </c>
      <c r="L163" s="37" t="s">
        <v>185</v>
      </c>
      <c r="M163" s="81"/>
      <c r="N163" s="81"/>
      <c r="O163" s="96"/>
      <c r="Q163" s="34"/>
      <c r="R163" s="48" t="str">
        <f>IF(AND(ISNUMBER(G164),ISNUMBER(C163)),SUM(R164,R167:R169),"")</f>
        <v/>
      </c>
      <c r="S163" s="98" t="s">
        <v>160</v>
      </c>
      <c r="T163" s="35"/>
      <c r="U163" s="35"/>
      <c r="V163" s="35"/>
      <c r="W163" s="35"/>
      <c r="X163" s="35"/>
      <c r="Y163" s="35"/>
      <c r="Z163" s="35"/>
      <c r="AA163" s="35"/>
      <c r="AB163" s="104"/>
      <c r="AC163" s="35"/>
      <c r="AD163" s="35"/>
      <c r="AE163" s="35"/>
      <c r="AF163" s="35"/>
      <c r="AG163" s="35"/>
      <c r="AH163" s="35"/>
      <c r="AI163" s="35"/>
      <c r="AJ163" s="35"/>
      <c r="AK163" s="35"/>
      <c r="AL163" s="35"/>
      <c r="AM163" s="35"/>
      <c r="AN163" s="36"/>
      <c r="AO163" s="36"/>
      <c r="AP163" s="36"/>
      <c r="AQ163" s="36"/>
      <c r="AR163" s="36"/>
      <c r="AS163" s="36"/>
      <c r="AT163" s="36"/>
      <c r="AU163" s="36"/>
      <c r="AV163" s="36"/>
      <c r="AW163" s="36"/>
      <c r="AX163" s="36"/>
      <c r="AY163" s="36"/>
      <c r="AZ163" s="36"/>
      <c r="BA163" s="36"/>
      <c r="BB163" s="36"/>
      <c r="BC163" s="36"/>
      <c r="BD163" s="36"/>
      <c r="BE163" s="36"/>
    </row>
    <row r="164" spans="2:57" s="30" customFormat="1" ht="30" x14ac:dyDescent="0.2">
      <c r="B164" s="151" t="s">
        <v>660</v>
      </c>
      <c r="C164" s="475" t="s">
        <v>253</v>
      </c>
      <c r="D164" s="476"/>
      <c r="G164" s="152"/>
      <c r="H164" s="81" t="s">
        <v>5</v>
      </c>
      <c r="J164" s="169" t="s">
        <v>395</v>
      </c>
      <c r="K164" s="92" t="str">
        <f>IFERROR(IF(ISNUMBER(L164),L164,(VLOOKUP(C165,Kalusto!$C$45:$G$84,5,FALSE)*(VLOOKUP(C166,Muut!$D$40:$E$43,2,FALSE)))),"--")</f>
        <v>--</v>
      </c>
      <c r="L164" s="39"/>
      <c r="M164" s="40" t="s">
        <v>184</v>
      </c>
      <c r="N164" s="40"/>
      <c r="O164" s="259"/>
      <c r="Q164" s="34"/>
      <c r="R164" s="48" t="str">
        <f>IF(ISNUMBER(Y165*X165*K164),Y165*X165*K164,"")</f>
        <v/>
      </c>
      <c r="S164" s="98" t="s">
        <v>160</v>
      </c>
      <c r="T164" s="35" t="s">
        <v>400</v>
      </c>
      <c r="U164" s="35" t="s">
        <v>349</v>
      </c>
      <c r="V164" s="43" t="s">
        <v>397</v>
      </c>
      <c r="W164" s="35" t="s">
        <v>398</v>
      </c>
      <c r="X164" s="43" t="s">
        <v>401</v>
      </c>
      <c r="Y164" s="43" t="s">
        <v>403</v>
      </c>
      <c r="Z164" s="43" t="s">
        <v>339</v>
      </c>
      <c r="AA164" s="35"/>
      <c r="AB164" s="104"/>
      <c r="AC164" s="35"/>
      <c r="AD164" s="35"/>
      <c r="AE164" s="35"/>
      <c r="AF164" s="35"/>
      <c r="AG164" s="35"/>
      <c r="AH164" s="35"/>
      <c r="AI164" s="35"/>
      <c r="AJ164" s="35"/>
      <c r="AK164" s="35"/>
      <c r="AL164" s="35"/>
      <c r="AM164" s="35"/>
      <c r="AN164" s="36"/>
      <c r="AO164" s="36"/>
      <c r="AP164" s="36"/>
      <c r="AQ164" s="36"/>
      <c r="AR164" s="36"/>
      <c r="AS164" s="36"/>
      <c r="AT164" s="36"/>
      <c r="AU164" s="36"/>
      <c r="AV164" s="36"/>
      <c r="AW164" s="36"/>
      <c r="AX164" s="36"/>
      <c r="AY164" s="36"/>
      <c r="AZ164" s="36"/>
      <c r="BA164" s="36"/>
      <c r="BB164" s="36"/>
      <c r="BC164" s="36"/>
      <c r="BD164" s="36"/>
      <c r="BE164" s="36"/>
    </row>
    <row r="165" spans="2:57" s="30" customFormat="1" ht="15" x14ac:dyDescent="0.2">
      <c r="B165" s="76" t="s">
        <v>342</v>
      </c>
      <c r="C165" s="471" t="s">
        <v>298</v>
      </c>
      <c r="D165" s="472"/>
      <c r="E165" s="472"/>
      <c r="F165" s="472"/>
      <c r="G165" s="473"/>
      <c r="J165" s="32"/>
      <c r="K165" s="37"/>
      <c r="L165" s="37"/>
      <c r="M165" s="40"/>
      <c r="N165" s="40"/>
      <c r="O165" s="259"/>
      <c r="Q165" s="45"/>
      <c r="R165" s="104"/>
      <c r="S165" s="35"/>
      <c r="T165" s="46" t="str">
        <f>IFERROR(IF(ISNUMBER(L164),"Kohdetieto",VLOOKUP(C165,Kalusto!$C$45:$L$84,7,FALSE)),"--")</f>
        <v>--</v>
      </c>
      <c r="U165" s="46" t="str">
        <f>IFERROR(IF(ISNUMBER(L164),"Kohdetieto",VLOOKUP(C165,Kalusto!$C$45:$L$84,8,FALSE)),"--")</f>
        <v>--</v>
      </c>
      <c r="V165" s="47" t="str">
        <f>IFERROR(IF(ISNUMBER(L164),"Kohdetieto",VLOOKUP(C165,Kalusto!$C$45:$L$84,9,FALSE)),"--")</f>
        <v>--</v>
      </c>
      <c r="W165" s="47" t="str">
        <f>IFERROR(IF(ISNUMBER(L164),"Kohdetieto",VLOOKUP(C165,Kalusto!$C$45:$L$84,10,FALSE)),"--")</f>
        <v>--</v>
      </c>
      <c r="X165" s="48" t="str">
        <f>IF(ISBLANK(C163),"",C163/1000)</f>
        <v/>
      </c>
      <c r="Y165" s="46" t="str">
        <f>IF(ISNUMBER(G164),G164,"")</f>
        <v/>
      </c>
      <c r="Z165" s="49" t="str">
        <f>IF(ISNUMBER(L164),L164,K164)</f>
        <v>--</v>
      </c>
      <c r="AA165" s="35"/>
      <c r="AB165" s="104"/>
      <c r="AC165" s="35"/>
      <c r="AD165" s="35"/>
      <c r="AE165" s="35"/>
      <c r="AF165" s="35"/>
      <c r="AG165" s="35"/>
      <c r="AH165" s="35"/>
      <c r="AI165" s="35"/>
      <c r="AJ165" s="35"/>
      <c r="AK165" s="35"/>
      <c r="AL165" s="35"/>
      <c r="AM165" s="35"/>
      <c r="AN165" s="36"/>
      <c r="AO165" s="36"/>
      <c r="AP165" s="36"/>
      <c r="AQ165" s="36"/>
      <c r="AR165" s="36"/>
      <c r="AS165" s="36"/>
      <c r="AT165" s="36"/>
      <c r="AU165" s="36"/>
      <c r="AV165" s="36"/>
      <c r="AW165" s="36"/>
      <c r="AX165" s="36"/>
      <c r="AY165" s="36"/>
      <c r="AZ165" s="36"/>
      <c r="BA165" s="36"/>
      <c r="BB165" s="36"/>
      <c r="BC165" s="36"/>
      <c r="BD165" s="36"/>
      <c r="BE165" s="36"/>
    </row>
    <row r="166" spans="2:57" s="30" customFormat="1" ht="15" x14ac:dyDescent="0.2">
      <c r="B166" s="76" t="s">
        <v>457</v>
      </c>
      <c r="C166" s="156" t="s">
        <v>309</v>
      </c>
      <c r="D166" s="33"/>
      <c r="E166" s="33"/>
      <c r="F166" s="33"/>
      <c r="G166" s="33"/>
      <c r="H166" s="57"/>
      <c r="J166" s="169"/>
      <c r="K166" s="37" t="s">
        <v>297</v>
      </c>
      <c r="L166" s="37" t="s">
        <v>185</v>
      </c>
      <c r="M166" s="40"/>
      <c r="N166" s="40"/>
      <c r="O166" s="259"/>
      <c r="Q166" s="45"/>
      <c r="R166" s="35"/>
      <c r="S166" s="35"/>
      <c r="T166" s="35"/>
      <c r="U166" s="35"/>
      <c r="V166" s="177"/>
      <c r="W166" s="177"/>
      <c r="X166" s="59"/>
      <c r="Y166" s="35"/>
      <c r="Z166" s="59"/>
      <c r="AA166" s="178"/>
      <c r="AB166" s="59"/>
      <c r="AC166" s="59"/>
      <c r="AD166" s="59"/>
      <c r="AE166" s="59"/>
      <c r="AF166" s="178"/>
      <c r="AG166" s="59"/>
      <c r="AH166" s="35"/>
      <c r="AI166" s="35"/>
      <c r="AJ166" s="35"/>
      <c r="AK166" s="104"/>
      <c r="AL166" s="35"/>
      <c r="AM166" s="35"/>
      <c r="AN166" s="36"/>
      <c r="AO166" s="36"/>
      <c r="AP166" s="36"/>
      <c r="AQ166" s="36"/>
      <c r="AR166" s="36"/>
      <c r="AS166" s="36"/>
      <c r="AT166" s="36"/>
      <c r="AU166" s="36"/>
      <c r="AV166" s="36"/>
      <c r="AW166" s="36"/>
      <c r="AX166" s="36"/>
      <c r="AY166" s="36"/>
      <c r="AZ166" s="36"/>
      <c r="BA166" s="36"/>
      <c r="BB166" s="36"/>
      <c r="BC166" s="36"/>
      <c r="BD166" s="36"/>
      <c r="BE166" s="36"/>
    </row>
    <row r="167" spans="2:57" s="30" customFormat="1" ht="15" x14ac:dyDescent="0.2">
      <c r="B167" s="151" t="s">
        <v>491</v>
      </c>
      <c r="C167" s="474" t="s">
        <v>739</v>
      </c>
      <c r="D167" s="474"/>
      <c r="G167" s="152"/>
      <c r="H167" s="81" t="s">
        <v>5</v>
      </c>
      <c r="J167" s="32" t="str">
        <f>IFERROR(VLOOKUP(C167,Kalusto!$B$107:$C$110,2,FALSE),"Valitse kuljetustapa")</f>
        <v>Valitse kuljetustapa</v>
      </c>
      <c r="K167" s="92" t="str">
        <f>IFERROR(IF(ISNUMBER(L167),L167,VLOOKUP(J167,Kalusto!$C$107:$G$110,5,FALSE)),"--")</f>
        <v>--</v>
      </c>
      <c r="L167" s="39"/>
      <c r="M167" s="40" t="s">
        <v>184</v>
      </c>
      <c r="N167" s="40"/>
      <c r="O167" s="259"/>
      <c r="Q167" s="34"/>
      <c r="R167" s="48" t="str">
        <f>IF(AND(ISNUMBER(G167)*ISNUMBER(C163)),K167*G167*X165,"")</f>
        <v/>
      </c>
      <c r="S167" s="98" t="s">
        <v>160</v>
      </c>
      <c r="T167" s="35"/>
      <c r="U167" s="35"/>
      <c r="V167" s="35"/>
      <c r="W167" s="35"/>
      <c r="X167" s="35"/>
      <c r="Y167" s="35"/>
      <c r="Z167" s="35"/>
      <c r="AA167" s="35"/>
      <c r="AB167" s="104"/>
      <c r="AC167" s="35"/>
      <c r="AD167" s="35"/>
      <c r="AE167" s="35"/>
      <c r="AF167" s="35"/>
      <c r="AG167" s="35"/>
      <c r="AH167" s="35"/>
      <c r="AI167" s="35"/>
      <c r="AJ167" s="35"/>
      <c r="AK167" s="35"/>
      <c r="AL167" s="35"/>
      <c r="AM167" s="35"/>
      <c r="AN167" s="36"/>
      <c r="AO167" s="36"/>
      <c r="AP167" s="36"/>
      <c r="AQ167" s="36"/>
      <c r="AR167" s="36"/>
      <c r="AS167" s="36"/>
      <c r="AT167" s="36"/>
      <c r="AU167" s="36"/>
      <c r="AV167" s="36"/>
      <c r="AW167" s="36"/>
      <c r="AX167" s="36"/>
      <c r="AY167" s="36"/>
      <c r="AZ167" s="36"/>
      <c r="BA167" s="36"/>
      <c r="BB167" s="36"/>
      <c r="BC167" s="36"/>
      <c r="BD167" s="36"/>
      <c r="BE167" s="36"/>
    </row>
    <row r="168" spans="2:57" s="30" customFormat="1" ht="15" x14ac:dyDescent="0.2">
      <c r="B168" s="151" t="s">
        <v>491</v>
      </c>
      <c r="C168" s="474" t="s">
        <v>739</v>
      </c>
      <c r="D168" s="474"/>
      <c r="G168" s="152"/>
      <c r="H168" s="81" t="s">
        <v>5</v>
      </c>
      <c r="J168" s="32" t="str">
        <f>IFERROR(VLOOKUP(C168,Kalusto!$B$107:$C$110,2,FALSE),"Valitse kuljetustapa")</f>
        <v>Valitse kuljetustapa</v>
      </c>
      <c r="K168" s="92" t="str">
        <f>IFERROR(IF(ISNUMBER(L168),L168,VLOOKUP(J168,Kalusto!$C$107:$G$110,5,FALSE)),"--")</f>
        <v>--</v>
      </c>
      <c r="L168" s="39"/>
      <c r="M168" s="40" t="s">
        <v>184</v>
      </c>
      <c r="N168" s="40"/>
      <c r="O168" s="259"/>
      <c r="Q168" s="34"/>
      <c r="R168" s="48" t="str">
        <f>IF(AND(ISNUMBER(G168)*ISNUMBER(C163)),K168*G168*X165,"")</f>
        <v/>
      </c>
      <c r="S168" s="98" t="s">
        <v>160</v>
      </c>
      <c r="T168" s="35"/>
      <c r="U168" s="35"/>
      <c r="V168" s="35"/>
      <c r="W168" s="35"/>
      <c r="X168" s="35"/>
      <c r="Y168" s="35"/>
      <c r="Z168" s="35"/>
      <c r="AA168" s="35"/>
      <c r="AB168" s="104"/>
      <c r="AC168" s="35"/>
      <c r="AD168" s="35"/>
      <c r="AE168" s="35"/>
      <c r="AF168" s="35"/>
      <c r="AG168" s="35"/>
      <c r="AH168" s="35"/>
      <c r="AI168" s="35"/>
      <c r="AJ168" s="35"/>
      <c r="AK168" s="35"/>
      <c r="AL168" s="35"/>
      <c r="AM168" s="35"/>
      <c r="AN168" s="36"/>
      <c r="AO168" s="36"/>
      <c r="AP168" s="36"/>
      <c r="AQ168" s="36"/>
      <c r="AR168" s="36"/>
      <c r="AS168" s="36"/>
      <c r="AT168" s="36"/>
      <c r="AU168" s="36"/>
      <c r="AV168" s="36"/>
      <c r="AW168" s="36"/>
      <c r="AX168" s="36"/>
      <c r="AY168" s="36"/>
      <c r="AZ168" s="36"/>
      <c r="BA168" s="36"/>
      <c r="BB168" s="36"/>
      <c r="BC168" s="36"/>
      <c r="BD168" s="36"/>
      <c r="BE168" s="36"/>
    </row>
    <row r="169" spans="2:57" s="30" customFormat="1" ht="15" x14ac:dyDescent="0.2">
      <c r="B169" s="151" t="s">
        <v>491</v>
      </c>
      <c r="C169" s="474" t="s">
        <v>739</v>
      </c>
      <c r="D169" s="474"/>
      <c r="G169" s="152"/>
      <c r="H169" s="81" t="s">
        <v>5</v>
      </c>
      <c r="J169" s="32" t="str">
        <f>IFERROR(VLOOKUP(C169,Kalusto!$B$107:$C$110,2,FALSE),"Valitse kuljetustapa")</f>
        <v>Valitse kuljetustapa</v>
      </c>
      <c r="K169" s="92" t="str">
        <f>IFERROR(IF(ISNUMBER(L169),L169,VLOOKUP(J169,Kalusto!$C$107:$G$110,5,FALSE)),"--")</f>
        <v>--</v>
      </c>
      <c r="L169" s="39"/>
      <c r="M169" s="40" t="s">
        <v>184</v>
      </c>
      <c r="N169" s="40"/>
      <c r="O169" s="259"/>
      <c r="Q169" s="34"/>
      <c r="R169" s="48" t="str">
        <f>IF(AND(ISNUMBER(G169)*ISNUMBER(C163)),K169*G169*X165,"")</f>
        <v/>
      </c>
      <c r="S169" s="98" t="s">
        <v>160</v>
      </c>
      <c r="T169" s="35"/>
      <c r="U169" s="35"/>
      <c r="V169" s="35"/>
      <c r="W169" s="35"/>
      <c r="X169" s="35"/>
      <c r="Y169" s="35"/>
      <c r="Z169" s="35"/>
      <c r="AA169" s="35"/>
      <c r="AB169" s="104"/>
      <c r="AC169" s="35"/>
      <c r="AD169" s="35"/>
      <c r="AE169" s="35"/>
      <c r="AF169" s="35"/>
      <c r="AG169" s="35"/>
      <c r="AH169" s="35"/>
      <c r="AI169" s="35"/>
      <c r="AJ169" s="35"/>
      <c r="AK169" s="35"/>
      <c r="AL169" s="35"/>
      <c r="AM169" s="35"/>
      <c r="AN169" s="36"/>
      <c r="AO169" s="36"/>
      <c r="AP169" s="36"/>
      <c r="AQ169" s="36"/>
      <c r="AR169" s="36"/>
      <c r="AS169" s="36"/>
      <c r="AT169" s="36"/>
      <c r="AU169" s="36"/>
      <c r="AV169" s="36"/>
      <c r="AW169" s="36"/>
      <c r="AX169" s="36"/>
      <c r="AY169" s="36"/>
      <c r="AZ169" s="36"/>
      <c r="BA169" s="36"/>
      <c r="BB169" s="36"/>
      <c r="BC169" s="36"/>
      <c r="BD169" s="36"/>
      <c r="BE169" s="36"/>
    </row>
    <row r="170" spans="2:57" s="30" customFormat="1" ht="15.75" x14ac:dyDescent="0.2">
      <c r="B170" s="8" t="str">
        <f>B139</f>
        <v>Kemikaali-, tuote- tai materiaalilaji 3</v>
      </c>
      <c r="C170" s="33"/>
      <c r="D170" s="81"/>
      <c r="G170" s="70"/>
      <c r="H170" s="81"/>
      <c r="J170" s="32"/>
      <c r="K170" s="33"/>
      <c r="L170" s="33"/>
      <c r="M170" s="81"/>
      <c r="N170" s="81"/>
      <c r="O170" s="96"/>
      <c r="Q170" s="34"/>
      <c r="R170" s="35" t="s">
        <v>318</v>
      </c>
      <c r="S170" s="35"/>
      <c r="T170" s="35"/>
      <c r="U170" s="35"/>
      <c r="V170" s="35"/>
      <c r="W170" s="35"/>
      <c r="X170" s="35"/>
      <c r="Y170" s="35"/>
      <c r="Z170" s="35"/>
      <c r="AA170" s="35"/>
      <c r="AB170" s="104"/>
      <c r="AC170" s="35"/>
      <c r="AD170" s="35"/>
      <c r="AE170" s="35"/>
      <c r="AF170" s="35"/>
      <c r="AG170" s="35"/>
      <c r="AH170" s="35"/>
      <c r="AI170" s="35"/>
      <c r="AJ170" s="35"/>
      <c r="AK170" s="35"/>
      <c r="AL170" s="35"/>
      <c r="AM170" s="35"/>
      <c r="AN170" s="36"/>
      <c r="AO170" s="36"/>
      <c r="AP170" s="36"/>
      <c r="AQ170" s="36"/>
      <c r="AR170" s="36"/>
      <c r="AS170" s="36"/>
      <c r="AT170" s="36"/>
      <c r="AU170" s="36"/>
      <c r="AV170" s="36"/>
      <c r="AW170" s="36"/>
      <c r="AX170" s="36"/>
      <c r="AY170" s="36"/>
      <c r="AZ170" s="36"/>
      <c r="BA170" s="36"/>
      <c r="BB170" s="36"/>
      <c r="BC170" s="36"/>
      <c r="BD170" s="36"/>
      <c r="BE170" s="36"/>
    </row>
    <row r="171" spans="2:57" s="30" customFormat="1" ht="15" x14ac:dyDescent="0.2">
      <c r="B171" s="52" t="s">
        <v>340</v>
      </c>
      <c r="C171" s="152"/>
      <c r="D171" s="81" t="s">
        <v>252</v>
      </c>
      <c r="G171" s="33"/>
      <c r="H171" s="81"/>
      <c r="J171" s="32"/>
      <c r="K171" s="37" t="s">
        <v>297</v>
      </c>
      <c r="L171" s="37" t="s">
        <v>185</v>
      </c>
      <c r="M171" s="81"/>
      <c r="N171" s="81"/>
      <c r="O171" s="96"/>
      <c r="Q171" s="34"/>
      <c r="R171" s="48" t="str">
        <f>IF(AND(ISNUMBER(G172),ISNUMBER(C171)),SUM(R172,R175:R177),"")</f>
        <v/>
      </c>
      <c r="S171" s="98" t="s">
        <v>160</v>
      </c>
      <c r="T171" s="35"/>
      <c r="U171" s="35"/>
      <c r="V171" s="35"/>
      <c r="W171" s="35"/>
      <c r="X171" s="35"/>
      <c r="Y171" s="35"/>
      <c r="Z171" s="35"/>
      <c r="AA171" s="35"/>
      <c r="AB171" s="104"/>
      <c r="AC171" s="35"/>
      <c r="AD171" s="35"/>
      <c r="AE171" s="35"/>
      <c r="AF171" s="35"/>
      <c r="AG171" s="35"/>
      <c r="AH171" s="35"/>
      <c r="AI171" s="35"/>
      <c r="AJ171" s="35"/>
      <c r="AK171" s="35"/>
      <c r="AL171" s="35"/>
      <c r="AM171" s="35"/>
      <c r="AN171" s="36"/>
      <c r="AO171" s="36"/>
      <c r="AP171" s="36"/>
      <c r="AQ171" s="36"/>
      <c r="AR171" s="36"/>
      <c r="AS171" s="36"/>
      <c r="AT171" s="36"/>
      <c r="AU171" s="36"/>
      <c r="AV171" s="36"/>
      <c r="AW171" s="36"/>
      <c r="AX171" s="36"/>
      <c r="AY171" s="36"/>
      <c r="AZ171" s="36"/>
      <c r="BA171" s="36"/>
      <c r="BB171" s="36"/>
      <c r="BC171" s="36"/>
      <c r="BD171" s="36"/>
      <c r="BE171" s="36"/>
    </row>
    <row r="172" spans="2:57" s="30" customFormat="1" ht="30" x14ac:dyDescent="0.2">
      <c r="B172" s="151" t="s">
        <v>660</v>
      </c>
      <c r="C172" s="475" t="s">
        <v>253</v>
      </c>
      <c r="D172" s="476"/>
      <c r="G172" s="152"/>
      <c r="H172" s="81" t="s">
        <v>5</v>
      </c>
      <c r="J172" s="169" t="s">
        <v>395</v>
      </c>
      <c r="K172" s="92" t="str">
        <f>IFERROR(IF(ISNUMBER(L172),L172,(VLOOKUP(C173,Kalusto!$C$45:$G$84,5,FALSE)*(VLOOKUP(C174,Muut!$D$40:$E$43,2,FALSE)))),"--")</f>
        <v>--</v>
      </c>
      <c r="L172" s="39"/>
      <c r="M172" s="40" t="s">
        <v>184</v>
      </c>
      <c r="N172" s="40"/>
      <c r="O172" s="259"/>
      <c r="Q172" s="34"/>
      <c r="R172" s="48" t="str">
        <f>IF(ISNUMBER(Y173*X173*K172),Y173*X173*K172,"")</f>
        <v/>
      </c>
      <c r="S172" s="98" t="s">
        <v>160</v>
      </c>
      <c r="T172" s="35" t="s">
        <v>400</v>
      </c>
      <c r="U172" s="35" t="s">
        <v>349</v>
      </c>
      <c r="V172" s="43" t="s">
        <v>397</v>
      </c>
      <c r="W172" s="35" t="s">
        <v>398</v>
      </c>
      <c r="X172" s="43" t="s">
        <v>401</v>
      </c>
      <c r="Y172" s="43" t="s">
        <v>403</v>
      </c>
      <c r="Z172" s="43" t="s">
        <v>339</v>
      </c>
      <c r="AA172" s="35"/>
      <c r="AB172" s="104"/>
      <c r="AC172" s="35"/>
      <c r="AD172" s="35"/>
      <c r="AE172" s="35"/>
      <c r="AF172" s="35"/>
      <c r="AG172" s="35"/>
      <c r="AH172" s="35"/>
      <c r="AI172" s="35"/>
      <c r="AJ172" s="35"/>
      <c r="AK172" s="35"/>
      <c r="AL172" s="35"/>
      <c r="AM172" s="35"/>
      <c r="AN172" s="36"/>
      <c r="AO172" s="36"/>
      <c r="AP172" s="36"/>
      <c r="AQ172" s="36"/>
      <c r="AR172" s="36"/>
      <c r="AS172" s="36"/>
      <c r="AT172" s="36"/>
      <c r="AU172" s="36"/>
      <c r="AV172" s="36"/>
      <c r="AW172" s="36"/>
      <c r="AX172" s="36"/>
      <c r="AY172" s="36"/>
      <c r="AZ172" s="36"/>
      <c r="BA172" s="36"/>
      <c r="BB172" s="36"/>
      <c r="BC172" s="36"/>
      <c r="BD172" s="36"/>
      <c r="BE172" s="36"/>
    </row>
    <row r="173" spans="2:57" s="30" customFormat="1" ht="15" x14ac:dyDescent="0.2">
      <c r="B173" s="76" t="s">
        <v>342</v>
      </c>
      <c r="C173" s="471" t="s">
        <v>298</v>
      </c>
      <c r="D173" s="472"/>
      <c r="E173" s="472"/>
      <c r="F173" s="472"/>
      <c r="G173" s="473"/>
      <c r="H173" s="165"/>
      <c r="J173" s="32"/>
      <c r="K173" s="37"/>
      <c r="L173" s="37"/>
      <c r="M173" s="40"/>
      <c r="N173" s="40"/>
      <c r="O173" s="259"/>
      <c r="Q173" s="45"/>
      <c r="R173" s="104"/>
      <c r="S173" s="35"/>
      <c r="T173" s="46" t="str">
        <f>IFERROR(IF(ISNUMBER(L172),"Kohdetieto",VLOOKUP(C173,Kalusto!$C$45:$L$84,7,FALSE)),"--")</f>
        <v>--</v>
      </c>
      <c r="U173" s="46" t="str">
        <f>IFERROR(IF(ISNUMBER(L172),"Kohdetieto",VLOOKUP(C173,Kalusto!$C$45:$L$84,8,FALSE)),"--")</f>
        <v>--</v>
      </c>
      <c r="V173" s="47" t="str">
        <f>IFERROR(IF(ISNUMBER(L172),"Kohdetieto",VLOOKUP(C173,Kalusto!$C$45:$L$84,9,FALSE)),"--")</f>
        <v>--</v>
      </c>
      <c r="W173" s="47" t="str">
        <f>IFERROR(IF(ISNUMBER(L172),"Kohdetieto",VLOOKUP(C173,Kalusto!$C$45:$L$84,10,FALSE)),"--")</f>
        <v>--</v>
      </c>
      <c r="X173" s="48" t="str">
        <f>IF(ISBLANK(C171),"",C171/1000)</f>
        <v/>
      </c>
      <c r="Y173" s="46" t="str">
        <f>IF(ISNUMBER(G172),G172,"")</f>
        <v/>
      </c>
      <c r="Z173" s="49" t="str">
        <f>IF(ISNUMBER(L172),L172,K172)</f>
        <v>--</v>
      </c>
      <c r="AA173" s="35"/>
      <c r="AB173" s="104"/>
      <c r="AC173" s="35"/>
      <c r="AD173" s="35"/>
      <c r="AE173" s="35"/>
      <c r="AF173" s="35"/>
      <c r="AG173" s="35"/>
      <c r="AH173" s="35"/>
      <c r="AI173" s="35"/>
      <c r="AJ173" s="35"/>
      <c r="AK173" s="35"/>
      <c r="AL173" s="35"/>
      <c r="AM173" s="35"/>
      <c r="AN173" s="36"/>
      <c r="AO173" s="36"/>
      <c r="AP173" s="36"/>
      <c r="AQ173" s="36"/>
      <c r="AR173" s="36"/>
      <c r="AS173" s="36"/>
      <c r="AT173" s="36"/>
      <c r="AU173" s="36"/>
      <c r="AV173" s="36"/>
      <c r="AW173" s="36"/>
      <c r="AX173" s="36"/>
      <c r="AY173" s="36"/>
      <c r="AZ173" s="36"/>
      <c r="BA173" s="36"/>
      <c r="BB173" s="36"/>
      <c r="BC173" s="36"/>
      <c r="BD173" s="36"/>
      <c r="BE173" s="36"/>
    </row>
    <row r="174" spans="2:57" s="30" customFormat="1" ht="15" x14ac:dyDescent="0.2">
      <c r="B174" s="76" t="s">
        <v>457</v>
      </c>
      <c r="C174" s="156" t="s">
        <v>309</v>
      </c>
      <c r="D174" s="33"/>
      <c r="E174" s="33"/>
      <c r="F174" s="33"/>
      <c r="G174" s="33"/>
      <c r="H174" s="57"/>
      <c r="J174" s="169"/>
      <c r="K174" s="37" t="s">
        <v>297</v>
      </c>
      <c r="L174" s="37" t="s">
        <v>185</v>
      </c>
      <c r="M174" s="40"/>
      <c r="N174" s="40"/>
      <c r="O174" s="259"/>
      <c r="Q174" s="45"/>
      <c r="R174" s="35"/>
      <c r="S174" s="35"/>
      <c r="T174" s="35"/>
      <c r="U174" s="35"/>
      <c r="V174" s="177"/>
      <c r="W174" s="177"/>
      <c r="X174" s="59"/>
      <c r="Y174" s="35"/>
      <c r="Z174" s="59"/>
      <c r="AA174" s="178"/>
      <c r="AB174" s="59"/>
      <c r="AC174" s="59"/>
      <c r="AD174" s="59"/>
      <c r="AE174" s="59"/>
      <c r="AF174" s="178"/>
      <c r="AG174" s="59"/>
      <c r="AH174" s="35"/>
      <c r="AI174" s="35"/>
      <c r="AJ174" s="35"/>
      <c r="AK174" s="104"/>
      <c r="AL174" s="35"/>
      <c r="AM174" s="35"/>
      <c r="AN174" s="36"/>
      <c r="AO174" s="36"/>
      <c r="AP174" s="36"/>
      <c r="AQ174" s="36"/>
      <c r="AR174" s="36"/>
      <c r="AS174" s="36"/>
      <c r="AT174" s="36"/>
      <c r="AU174" s="36"/>
      <c r="AV174" s="36"/>
      <c r="AW174" s="36"/>
      <c r="AX174" s="36"/>
      <c r="AY174" s="36"/>
      <c r="AZ174" s="36"/>
      <c r="BA174" s="36"/>
      <c r="BB174" s="36"/>
      <c r="BC174" s="36"/>
      <c r="BD174" s="36"/>
      <c r="BE174" s="36"/>
    </row>
    <row r="175" spans="2:57" s="30" customFormat="1" ht="15" x14ac:dyDescent="0.2">
      <c r="B175" s="151" t="s">
        <v>491</v>
      </c>
      <c r="C175" s="474" t="s">
        <v>739</v>
      </c>
      <c r="D175" s="474"/>
      <c r="G175" s="152"/>
      <c r="H175" s="81" t="s">
        <v>5</v>
      </c>
      <c r="J175" s="32" t="str">
        <f>IFERROR(VLOOKUP(C175,Kalusto!$B$107:$C$110,2,FALSE),"Valitse kuljetustapa")</f>
        <v>Valitse kuljetustapa</v>
      </c>
      <c r="K175" s="92" t="str">
        <f>IFERROR(IF(ISNUMBER(L175),L175,VLOOKUP(J175,Kalusto!$C$107:$G$110,5,FALSE)),"--")</f>
        <v>--</v>
      </c>
      <c r="L175" s="39"/>
      <c r="M175" s="40" t="s">
        <v>184</v>
      </c>
      <c r="N175" s="40"/>
      <c r="O175" s="259"/>
      <c r="Q175" s="34"/>
      <c r="R175" s="48" t="str">
        <f>IF(AND(ISNUMBER(G175)*ISNUMBER(C171)),K175*G175*X173,"")</f>
        <v/>
      </c>
      <c r="S175" s="98" t="s">
        <v>160</v>
      </c>
      <c r="T175" s="35"/>
      <c r="U175" s="35"/>
      <c r="V175" s="35"/>
      <c r="W175" s="35"/>
      <c r="X175" s="35"/>
      <c r="Y175" s="35"/>
      <c r="Z175" s="35"/>
      <c r="AA175" s="35"/>
      <c r="AB175" s="104"/>
      <c r="AC175" s="35"/>
      <c r="AD175" s="35"/>
      <c r="AE175" s="35"/>
      <c r="AF175" s="35"/>
      <c r="AG175" s="35"/>
      <c r="AH175" s="35"/>
      <c r="AI175" s="35"/>
      <c r="AJ175" s="35"/>
      <c r="AK175" s="35"/>
      <c r="AL175" s="35"/>
      <c r="AM175" s="35"/>
      <c r="AN175" s="36"/>
      <c r="AO175" s="36"/>
      <c r="AP175" s="36"/>
      <c r="AQ175" s="36"/>
      <c r="AR175" s="36"/>
      <c r="AS175" s="36"/>
      <c r="AT175" s="36"/>
      <c r="AU175" s="36"/>
      <c r="AV175" s="36"/>
      <c r="AW175" s="36"/>
      <c r="AX175" s="36"/>
      <c r="AY175" s="36"/>
      <c r="AZ175" s="36"/>
      <c r="BA175" s="36"/>
      <c r="BB175" s="36"/>
      <c r="BC175" s="36"/>
      <c r="BD175" s="36"/>
      <c r="BE175" s="36"/>
    </row>
    <row r="176" spans="2:57" s="30" customFormat="1" ht="15" x14ac:dyDescent="0.2">
      <c r="B176" s="151" t="s">
        <v>491</v>
      </c>
      <c r="C176" s="474" t="s">
        <v>739</v>
      </c>
      <c r="D176" s="474"/>
      <c r="G176" s="152"/>
      <c r="H176" s="81" t="s">
        <v>5</v>
      </c>
      <c r="J176" s="32" t="str">
        <f>IFERROR(VLOOKUP(C176,Kalusto!$B$107:$C$110,2,FALSE),"Valitse kuljetustapa")</f>
        <v>Valitse kuljetustapa</v>
      </c>
      <c r="K176" s="92" t="str">
        <f>IFERROR(IF(ISNUMBER(L176),L176,VLOOKUP(J176,Kalusto!$C$107:$G$110,5,FALSE)),"--")</f>
        <v>--</v>
      </c>
      <c r="L176" s="39"/>
      <c r="M176" s="40" t="s">
        <v>184</v>
      </c>
      <c r="N176" s="40"/>
      <c r="O176" s="259"/>
      <c r="Q176" s="34"/>
      <c r="R176" s="48" t="str">
        <f>IF(AND(ISNUMBER(G176)*ISNUMBER(C171)),K176*G176*X173,"")</f>
        <v/>
      </c>
      <c r="S176" s="98" t="s">
        <v>160</v>
      </c>
      <c r="T176" s="35"/>
      <c r="U176" s="35"/>
      <c r="V176" s="35"/>
      <c r="W176" s="35"/>
      <c r="X176" s="35"/>
      <c r="Y176" s="35"/>
      <c r="Z176" s="35"/>
      <c r="AA176" s="35"/>
      <c r="AB176" s="104"/>
      <c r="AC176" s="35"/>
      <c r="AD176" s="35"/>
      <c r="AE176" s="35"/>
      <c r="AF176" s="35"/>
      <c r="AG176" s="35"/>
      <c r="AH176" s="35"/>
      <c r="AI176" s="35"/>
      <c r="AJ176" s="35"/>
      <c r="AK176" s="35"/>
      <c r="AL176" s="35"/>
      <c r="AM176" s="35"/>
      <c r="AN176" s="36"/>
      <c r="AO176" s="36"/>
      <c r="AP176" s="36"/>
      <c r="AQ176" s="36"/>
      <c r="AR176" s="36"/>
      <c r="AS176" s="36"/>
      <c r="AT176" s="36"/>
      <c r="AU176" s="36"/>
      <c r="AV176" s="36"/>
      <c r="AW176" s="36"/>
      <c r="AX176" s="36"/>
      <c r="AY176" s="36"/>
      <c r="AZ176" s="36"/>
      <c r="BA176" s="36"/>
      <c r="BB176" s="36"/>
      <c r="BC176" s="36"/>
      <c r="BD176" s="36"/>
      <c r="BE176" s="36"/>
    </row>
    <row r="177" spans="2:57" s="30" customFormat="1" ht="15" x14ac:dyDescent="0.2">
      <c r="B177" s="151" t="s">
        <v>491</v>
      </c>
      <c r="C177" s="474" t="s">
        <v>739</v>
      </c>
      <c r="D177" s="474"/>
      <c r="G177" s="152"/>
      <c r="H177" s="81" t="s">
        <v>5</v>
      </c>
      <c r="J177" s="32" t="str">
        <f>IFERROR(VLOOKUP(C177,Kalusto!$B$107:$C$110,2,FALSE),"Valitse kuljetustapa")</f>
        <v>Valitse kuljetustapa</v>
      </c>
      <c r="K177" s="92" t="str">
        <f>IFERROR(IF(ISNUMBER(L177),L177,VLOOKUP(J177,Kalusto!$C$107:$G$110,5,FALSE)),"--")</f>
        <v>--</v>
      </c>
      <c r="L177" s="39"/>
      <c r="M177" s="40" t="s">
        <v>184</v>
      </c>
      <c r="N177" s="40"/>
      <c r="O177" s="259"/>
      <c r="Q177" s="34"/>
      <c r="R177" s="48" t="str">
        <f>IF(AND(ISNUMBER(G177)*ISNUMBER(C171)),K177*G177*X173,"")</f>
        <v/>
      </c>
      <c r="S177" s="98" t="s">
        <v>160</v>
      </c>
      <c r="T177" s="35"/>
      <c r="U177" s="35"/>
      <c r="V177" s="35"/>
      <c r="W177" s="35"/>
      <c r="X177" s="35"/>
      <c r="Y177" s="35"/>
      <c r="Z177" s="35"/>
      <c r="AA177" s="35"/>
      <c r="AB177" s="104"/>
      <c r="AC177" s="35"/>
      <c r="AD177" s="35"/>
      <c r="AE177" s="35"/>
      <c r="AF177" s="35"/>
      <c r="AG177" s="35"/>
      <c r="AH177" s="35"/>
      <c r="AI177" s="35"/>
      <c r="AJ177" s="35"/>
      <c r="AK177" s="35"/>
      <c r="AL177" s="35"/>
      <c r="AM177" s="35"/>
      <c r="AN177" s="36"/>
      <c r="AO177" s="36"/>
      <c r="AP177" s="36"/>
      <c r="AQ177" s="36"/>
      <c r="AR177" s="36"/>
      <c r="AS177" s="36"/>
      <c r="AT177" s="36"/>
      <c r="AU177" s="36"/>
      <c r="AV177" s="36"/>
      <c r="AW177" s="36"/>
      <c r="AX177" s="36"/>
      <c r="AY177" s="36"/>
      <c r="AZ177" s="36"/>
      <c r="BA177" s="36"/>
      <c r="BB177" s="36"/>
      <c r="BC177" s="36"/>
      <c r="BD177" s="36"/>
      <c r="BE177" s="36"/>
    </row>
    <row r="178" spans="2:57" s="30" customFormat="1" ht="15.75" x14ac:dyDescent="0.2">
      <c r="B178" s="8" t="str">
        <f>B142</f>
        <v>Kemikaali-, tuote- tai materiaalilaji 4</v>
      </c>
      <c r="C178" s="33"/>
      <c r="D178" s="81"/>
      <c r="G178" s="70"/>
      <c r="H178" s="81"/>
      <c r="J178" s="32"/>
      <c r="K178" s="33"/>
      <c r="L178" s="33"/>
      <c r="M178" s="81"/>
      <c r="N178" s="81"/>
      <c r="O178" s="96"/>
      <c r="Q178" s="34"/>
      <c r="R178" s="35" t="s">
        <v>318</v>
      </c>
      <c r="S178" s="35"/>
      <c r="T178" s="35"/>
      <c r="U178" s="35"/>
      <c r="V178" s="35"/>
      <c r="W178" s="35"/>
      <c r="X178" s="35"/>
      <c r="Y178" s="35"/>
      <c r="Z178" s="35"/>
      <c r="AA178" s="35"/>
      <c r="AB178" s="104"/>
      <c r="AC178" s="35"/>
      <c r="AD178" s="35"/>
      <c r="AE178" s="35"/>
      <c r="AF178" s="35"/>
      <c r="AG178" s="35"/>
      <c r="AH178" s="35"/>
      <c r="AI178" s="35"/>
      <c r="AJ178" s="35"/>
      <c r="AK178" s="35"/>
      <c r="AL178" s="35"/>
      <c r="AM178" s="35"/>
      <c r="AN178" s="36"/>
      <c r="AO178" s="36"/>
      <c r="AP178" s="36"/>
      <c r="AQ178" s="36"/>
      <c r="AR178" s="36"/>
      <c r="AS178" s="36"/>
      <c r="AT178" s="36"/>
      <c r="AU178" s="36"/>
      <c r="AV178" s="36"/>
      <c r="AW178" s="36"/>
      <c r="AX178" s="36"/>
      <c r="AY178" s="36"/>
      <c r="AZ178" s="36"/>
      <c r="BA178" s="36"/>
      <c r="BB178" s="36"/>
      <c r="BC178" s="36"/>
      <c r="BD178" s="36"/>
      <c r="BE178" s="36"/>
    </row>
    <row r="179" spans="2:57" s="30" customFormat="1" ht="15" x14ac:dyDescent="0.2">
      <c r="B179" s="52" t="s">
        <v>340</v>
      </c>
      <c r="C179" s="152"/>
      <c r="D179" s="81" t="s">
        <v>252</v>
      </c>
      <c r="G179" s="33"/>
      <c r="H179" s="81"/>
      <c r="J179" s="32"/>
      <c r="K179" s="37" t="s">
        <v>297</v>
      </c>
      <c r="L179" s="37" t="s">
        <v>185</v>
      </c>
      <c r="M179" s="81"/>
      <c r="N179" s="81"/>
      <c r="O179" s="96"/>
      <c r="Q179" s="34"/>
      <c r="R179" s="48" t="str">
        <f>IF(AND(ISNUMBER(G180),ISNUMBER(C179)),SUM(R180,R183:R185),"")</f>
        <v/>
      </c>
      <c r="S179" s="98" t="s">
        <v>160</v>
      </c>
      <c r="T179" s="35"/>
      <c r="U179" s="35"/>
      <c r="V179" s="35"/>
      <c r="W179" s="35"/>
      <c r="X179" s="35"/>
      <c r="Y179" s="35"/>
      <c r="Z179" s="35"/>
      <c r="AA179" s="35"/>
      <c r="AB179" s="104"/>
      <c r="AC179" s="35"/>
      <c r="AD179" s="35"/>
      <c r="AE179" s="35"/>
      <c r="AF179" s="35"/>
      <c r="AG179" s="35"/>
      <c r="AH179" s="35"/>
      <c r="AI179" s="35"/>
      <c r="AJ179" s="35"/>
      <c r="AK179" s="35"/>
      <c r="AL179" s="35"/>
      <c r="AM179" s="35"/>
      <c r="AN179" s="36"/>
      <c r="AO179" s="36"/>
      <c r="AP179" s="36"/>
      <c r="AQ179" s="36"/>
      <c r="AR179" s="36"/>
      <c r="AS179" s="36"/>
      <c r="AT179" s="36"/>
      <c r="AU179" s="36"/>
      <c r="AV179" s="36"/>
      <c r="AW179" s="36"/>
      <c r="AX179" s="36"/>
      <c r="AY179" s="36"/>
      <c r="AZ179" s="36"/>
      <c r="BA179" s="36"/>
      <c r="BB179" s="36"/>
      <c r="BC179" s="36"/>
      <c r="BD179" s="36"/>
      <c r="BE179" s="36"/>
    </row>
    <row r="180" spans="2:57" s="30" customFormat="1" ht="30" x14ac:dyDescent="0.2">
      <c r="B180" s="151" t="s">
        <v>660</v>
      </c>
      <c r="C180" s="475" t="s">
        <v>253</v>
      </c>
      <c r="D180" s="476"/>
      <c r="G180" s="152"/>
      <c r="H180" s="81" t="s">
        <v>5</v>
      </c>
      <c r="J180" s="169" t="s">
        <v>395</v>
      </c>
      <c r="K180" s="92" t="str">
        <f>IFERROR(IF(ISNUMBER(L180),L180,(VLOOKUP(C181,Kalusto!$C$45:$G$84,5,FALSE)*(VLOOKUP(C182,Muut!$D$40:$E$43,2,FALSE)))),"--")</f>
        <v>--</v>
      </c>
      <c r="L180" s="39"/>
      <c r="M180" s="40" t="s">
        <v>184</v>
      </c>
      <c r="N180" s="40"/>
      <c r="O180" s="259"/>
      <c r="Q180" s="34"/>
      <c r="R180" s="48" t="str">
        <f>IF(ISNUMBER(Y181*X181*K180),Y181*X181*K180,"")</f>
        <v/>
      </c>
      <c r="S180" s="98" t="s">
        <v>160</v>
      </c>
      <c r="T180" s="35" t="s">
        <v>400</v>
      </c>
      <c r="U180" s="35" t="s">
        <v>349</v>
      </c>
      <c r="V180" s="43" t="s">
        <v>397</v>
      </c>
      <c r="W180" s="35" t="s">
        <v>398</v>
      </c>
      <c r="X180" s="43" t="s">
        <v>401</v>
      </c>
      <c r="Y180" s="43" t="s">
        <v>403</v>
      </c>
      <c r="Z180" s="43" t="s">
        <v>339</v>
      </c>
      <c r="AA180" s="35"/>
      <c r="AB180" s="104"/>
      <c r="AC180" s="35"/>
      <c r="AD180" s="35"/>
      <c r="AE180" s="35"/>
      <c r="AF180" s="35"/>
      <c r="AG180" s="35"/>
      <c r="AH180" s="35"/>
      <c r="AI180" s="35"/>
      <c r="AJ180" s="35"/>
      <c r="AK180" s="35"/>
      <c r="AL180" s="35"/>
      <c r="AM180" s="35"/>
      <c r="AN180" s="36"/>
      <c r="AO180" s="36"/>
      <c r="AP180" s="36"/>
      <c r="AQ180" s="36"/>
      <c r="AR180" s="36"/>
      <c r="AS180" s="36"/>
      <c r="AT180" s="36"/>
      <c r="AU180" s="36"/>
      <c r="AV180" s="36"/>
      <c r="AW180" s="36"/>
      <c r="AX180" s="36"/>
      <c r="AY180" s="36"/>
      <c r="AZ180" s="36"/>
      <c r="BA180" s="36"/>
      <c r="BB180" s="36"/>
      <c r="BC180" s="36"/>
      <c r="BD180" s="36"/>
      <c r="BE180" s="36"/>
    </row>
    <row r="181" spans="2:57" s="30" customFormat="1" ht="15" x14ac:dyDescent="0.2">
      <c r="B181" s="76" t="s">
        <v>342</v>
      </c>
      <c r="C181" s="471" t="s">
        <v>298</v>
      </c>
      <c r="D181" s="472"/>
      <c r="E181" s="472"/>
      <c r="F181" s="472"/>
      <c r="G181" s="473"/>
      <c r="J181" s="32"/>
      <c r="K181" s="37"/>
      <c r="L181" s="37"/>
      <c r="M181" s="40"/>
      <c r="N181" s="40"/>
      <c r="O181" s="259"/>
      <c r="Q181" s="45"/>
      <c r="R181" s="104"/>
      <c r="S181" s="35"/>
      <c r="T181" s="46" t="str">
        <f>IFERROR(IF(ISNUMBER(L180),"Kohdetieto",VLOOKUP(C181,Kalusto!$C$45:$L$84,7,FALSE)),"--")</f>
        <v>--</v>
      </c>
      <c r="U181" s="46" t="str">
        <f>IFERROR(IF(ISNUMBER(L180),"Kohdetieto",VLOOKUP(C181,Kalusto!$C$45:$L$84,8,FALSE)),"--")</f>
        <v>--</v>
      </c>
      <c r="V181" s="47" t="str">
        <f>IFERROR(IF(ISNUMBER(L180),"Kohdetieto",VLOOKUP(C181,Kalusto!$C$45:$L$84,9,FALSE)),"--")</f>
        <v>--</v>
      </c>
      <c r="W181" s="47" t="str">
        <f>IFERROR(IF(ISNUMBER(L180),"Kohdetieto",VLOOKUP(C181,Kalusto!$C$45:$L$84,10,FALSE)),"--")</f>
        <v>--</v>
      </c>
      <c r="X181" s="48" t="str">
        <f>IF(ISBLANK(C179),"",C179/1000)</f>
        <v/>
      </c>
      <c r="Y181" s="46" t="str">
        <f>IF(ISNUMBER(G180),G180,"")</f>
        <v/>
      </c>
      <c r="Z181" s="49" t="str">
        <f>IF(ISNUMBER(L180),L180,K180)</f>
        <v>--</v>
      </c>
      <c r="AA181" s="35"/>
      <c r="AB181" s="104"/>
      <c r="AC181" s="35"/>
      <c r="AD181" s="35"/>
      <c r="AE181" s="35"/>
      <c r="AF181" s="35"/>
      <c r="AG181" s="35"/>
      <c r="AH181" s="35"/>
      <c r="AI181" s="35"/>
      <c r="AJ181" s="35"/>
      <c r="AK181" s="35"/>
      <c r="AL181" s="35"/>
      <c r="AM181" s="35"/>
      <c r="AN181" s="36"/>
      <c r="AO181" s="36"/>
      <c r="AP181" s="36"/>
      <c r="AQ181" s="36"/>
      <c r="AR181" s="36"/>
      <c r="AS181" s="36"/>
      <c r="AT181" s="36"/>
      <c r="AU181" s="36"/>
      <c r="AV181" s="36"/>
      <c r="AW181" s="36"/>
      <c r="AX181" s="36"/>
      <c r="AY181" s="36"/>
      <c r="AZ181" s="36"/>
      <c r="BA181" s="36"/>
      <c r="BB181" s="36"/>
      <c r="BC181" s="36"/>
      <c r="BD181" s="36"/>
      <c r="BE181" s="36"/>
    </row>
    <row r="182" spans="2:57" s="30" customFormat="1" ht="15" x14ac:dyDescent="0.2">
      <c r="B182" s="76" t="s">
        <v>457</v>
      </c>
      <c r="C182" s="156" t="s">
        <v>309</v>
      </c>
      <c r="D182" s="33"/>
      <c r="E182" s="33"/>
      <c r="F182" s="33"/>
      <c r="G182" s="33"/>
      <c r="H182" s="57"/>
      <c r="J182" s="169"/>
      <c r="K182" s="37" t="s">
        <v>297</v>
      </c>
      <c r="L182" s="37" t="s">
        <v>185</v>
      </c>
      <c r="M182" s="40"/>
      <c r="N182" s="40"/>
      <c r="O182" s="259"/>
      <c r="Q182" s="45"/>
      <c r="R182" s="35"/>
      <c r="S182" s="35"/>
      <c r="T182" s="35"/>
      <c r="U182" s="35"/>
      <c r="V182" s="177"/>
      <c r="W182" s="177"/>
      <c r="X182" s="59"/>
      <c r="Y182" s="35"/>
      <c r="Z182" s="59"/>
      <c r="AA182" s="178"/>
      <c r="AB182" s="59"/>
      <c r="AC182" s="59"/>
      <c r="AD182" s="59"/>
      <c r="AE182" s="59"/>
      <c r="AF182" s="178"/>
      <c r="AG182" s="59"/>
      <c r="AH182" s="35"/>
      <c r="AI182" s="35"/>
      <c r="AJ182" s="35"/>
      <c r="AK182" s="104"/>
      <c r="AL182" s="35"/>
      <c r="AM182" s="35"/>
      <c r="AN182" s="36"/>
      <c r="AO182" s="36"/>
      <c r="AP182" s="36"/>
      <c r="AQ182" s="36"/>
      <c r="AR182" s="36"/>
      <c r="AS182" s="36"/>
      <c r="AT182" s="36"/>
      <c r="AU182" s="36"/>
      <c r="AV182" s="36"/>
      <c r="AW182" s="36"/>
      <c r="AX182" s="36"/>
      <c r="AY182" s="36"/>
      <c r="AZ182" s="36"/>
      <c r="BA182" s="36"/>
      <c r="BB182" s="36"/>
      <c r="BC182" s="36"/>
      <c r="BD182" s="36"/>
      <c r="BE182" s="36"/>
    </row>
    <row r="183" spans="2:57" s="30" customFormat="1" ht="15" x14ac:dyDescent="0.2">
      <c r="B183" s="151" t="s">
        <v>492</v>
      </c>
      <c r="C183" s="474" t="s">
        <v>739</v>
      </c>
      <c r="D183" s="474"/>
      <c r="G183" s="152"/>
      <c r="H183" s="81" t="s">
        <v>5</v>
      </c>
      <c r="J183" s="32" t="str">
        <f>IFERROR(VLOOKUP(C183,Kalusto!$B$107:$C$110,2,FALSE),"Valitse kuljetustapa")</f>
        <v>Valitse kuljetustapa</v>
      </c>
      <c r="K183" s="92" t="str">
        <f>IFERROR(IF(ISNUMBER(L183),L183,VLOOKUP(J183,Kalusto!$C$107:$G$110,5,FALSE)),"--")</f>
        <v>--</v>
      </c>
      <c r="L183" s="39"/>
      <c r="M183" s="40" t="s">
        <v>184</v>
      </c>
      <c r="N183" s="40"/>
      <c r="O183" s="259"/>
      <c r="Q183" s="34"/>
      <c r="R183" s="48" t="str">
        <f>IF(AND(ISNUMBER(G183)*ISNUMBER(C179)),K183*G183*X181,"")</f>
        <v/>
      </c>
      <c r="S183" s="98" t="s">
        <v>160</v>
      </c>
      <c r="T183" s="35"/>
      <c r="U183" s="35"/>
      <c r="V183" s="35"/>
      <c r="W183" s="35"/>
      <c r="X183" s="35"/>
      <c r="Y183" s="35"/>
      <c r="Z183" s="35"/>
      <c r="AA183" s="35"/>
      <c r="AB183" s="104"/>
      <c r="AC183" s="35"/>
      <c r="AD183" s="35"/>
      <c r="AE183" s="35"/>
      <c r="AF183" s="35"/>
      <c r="AG183" s="35"/>
      <c r="AH183" s="35"/>
      <c r="AI183" s="35"/>
      <c r="AJ183" s="35"/>
      <c r="AK183" s="35"/>
      <c r="AL183" s="35"/>
      <c r="AM183" s="35"/>
      <c r="AN183" s="36"/>
      <c r="AO183" s="36"/>
      <c r="AP183" s="36"/>
      <c r="AQ183" s="36"/>
      <c r="AR183" s="36"/>
      <c r="AS183" s="36"/>
      <c r="AT183" s="36"/>
      <c r="AU183" s="36"/>
      <c r="AV183" s="36"/>
      <c r="AW183" s="36"/>
      <c r="AX183" s="36"/>
      <c r="AY183" s="36"/>
      <c r="AZ183" s="36"/>
      <c r="BA183" s="36"/>
      <c r="BB183" s="36"/>
      <c r="BC183" s="36"/>
      <c r="BD183" s="36"/>
      <c r="BE183" s="36"/>
    </row>
    <row r="184" spans="2:57" s="30" customFormat="1" ht="15" x14ac:dyDescent="0.2">
      <c r="B184" s="151" t="s">
        <v>492</v>
      </c>
      <c r="C184" s="474" t="s">
        <v>739</v>
      </c>
      <c r="D184" s="474"/>
      <c r="G184" s="152"/>
      <c r="H184" s="81" t="s">
        <v>5</v>
      </c>
      <c r="J184" s="32" t="str">
        <f>IFERROR(VLOOKUP(C184,Kalusto!$B$107:$C$110,2,FALSE),"Valitse kuljetustapa")</f>
        <v>Valitse kuljetustapa</v>
      </c>
      <c r="K184" s="92" t="str">
        <f>IFERROR(IF(ISNUMBER(L184),L184,VLOOKUP(J184,Kalusto!$C$107:$G$110,5,FALSE)),"--")</f>
        <v>--</v>
      </c>
      <c r="L184" s="39"/>
      <c r="M184" s="40" t="s">
        <v>184</v>
      </c>
      <c r="N184" s="40"/>
      <c r="O184" s="259"/>
      <c r="Q184" s="34"/>
      <c r="R184" s="48" t="str">
        <f>IF(AND(ISNUMBER(G184)*ISNUMBER(C179)),K184*G184*X181,"")</f>
        <v/>
      </c>
      <c r="S184" s="98" t="s">
        <v>160</v>
      </c>
      <c r="T184" s="35"/>
      <c r="U184" s="35"/>
      <c r="V184" s="35"/>
      <c r="W184" s="35"/>
      <c r="X184" s="35"/>
      <c r="Y184" s="35"/>
      <c r="Z184" s="35"/>
      <c r="AA184" s="35"/>
      <c r="AB184" s="104"/>
      <c r="AC184" s="35"/>
      <c r="AD184" s="35"/>
      <c r="AE184" s="35"/>
      <c r="AF184" s="35"/>
      <c r="AG184" s="35"/>
      <c r="AH184" s="35"/>
      <c r="AI184" s="35"/>
      <c r="AJ184" s="35"/>
      <c r="AK184" s="35"/>
      <c r="AL184" s="35"/>
      <c r="AM184" s="35"/>
      <c r="AN184" s="36"/>
      <c r="AO184" s="36"/>
      <c r="AP184" s="36"/>
      <c r="AQ184" s="36"/>
      <c r="AR184" s="36"/>
      <c r="AS184" s="36"/>
      <c r="AT184" s="36"/>
      <c r="AU184" s="36"/>
      <c r="AV184" s="36"/>
      <c r="AW184" s="36"/>
      <c r="AX184" s="36"/>
      <c r="AY184" s="36"/>
      <c r="AZ184" s="36"/>
      <c r="BA184" s="36"/>
      <c r="BB184" s="36"/>
      <c r="BC184" s="36"/>
      <c r="BD184" s="36"/>
      <c r="BE184" s="36"/>
    </row>
    <row r="185" spans="2:57" s="30" customFormat="1" ht="15" x14ac:dyDescent="0.2">
      <c r="B185" s="151" t="s">
        <v>492</v>
      </c>
      <c r="C185" s="474" t="s">
        <v>739</v>
      </c>
      <c r="D185" s="474"/>
      <c r="G185" s="152"/>
      <c r="H185" s="81" t="s">
        <v>5</v>
      </c>
      <c r="J185" s="32" t="str">
        <f>IFERROR(VLOOKUP(C185,Kalusto!$B$107:$C$110,2,FALSE),"Valitse kuljetustapa")</f>
        <v>Valitse kuljetustapa</v>
      </c>
      <c r="K185" s="92" t="str">
        <f>IFERROR(IF(ISNUMBER(L185),L185,VLOOKUP(J185,Kalusto!$C$107:$G$110,5,FALSE)),"--")</f>
        <v>--</v>
      </c>
      <c r="L185" s="39"/>
      <c r="M185" s="40" t="s">
        <v>184</v>
      </c>
      <c r="N185" s="40"/>
      <c r="O185" s="259"/>
      <c r="Q185" s="34"/>
      <c r="R185" s="48" t="str">
        <f>IF(AND(ISNUMBER(G185)*ISNUMBER(C179)),K185*G185*X181,"")</f>
        <v/>
      </c>
      <c r="S185" s="98" t="s">
        <v>160</v>
      </c>
      <c r="T185" s="35"/>
      <c r="U185" s="35"/>
      <c r="V185" s="35"/>
      <c r="W185" s="35"/>
      <c r="X185" s="35"/>
      <c r="Y185" s="35"/>
      <c r="Z185" s="35"/>
      <c r="AA185" s="35"/>
      <c r="AB185" s="104"/>
      <c r="AC185" s="35"/>
      <c r="AD185" s="35"/>
      <c r="AE185" s="35"/>
      <c r="AF185" s="35"/>
      <c r="AG185" s="35"/>
      <c r="AH185" s="35"/>
      <c r="AI185" s="35"/>
      <c r="AJ185" s="35"/>
      <c r="AK185" s="35"/>
      <c r="AL185" s="35"/>
      <c r="AM185" s="35"/>
      <c r="AN185" s="36"/>
      <c r="AO185" s="36"/>
      <c r="AP185" s="36"/>
      <c r="AQ185" s="36"/>
      <c r="AR185" s="36"/>
      <c r="AS185" s="36"/>
      <c r="AT185" s="36"/>
      <c r="AU185" s="36"/>
      <c r="AV185" s="36"/>
      <c r="AW185" s="36"/>
      <c r="AX185" s="36"/>
      <c r="AY185" s="36"/>
      <c r="AZ185" s="36"/>
      <c r="BA185" s="36"/>
      <c r="BB185" s="36"/>
      <c r="BC185" s="36"/>
      <c r="BD185" s="36"/>
      <c r="BE185" s="36"/>
    </row>
    <row r="186" spans="2:57" s="30" customFormat="1" ht="15.75" x14ac:dyDescent="0.2">
      <c r="B186" s="8" t="str">
        <f>B145</f>
        <v>Kemikaali-, tuote- tai materiaalilaji 5</v>
      </c>
      <c r="C186" s="33"/>
      <c r="D186" s="81"/>
      <c r="G186" s="70"/>
      <c r="H186" s="81"/>
      <c r="J186" s="32"/>
      <c r="K186" s="33"/>
      <c r="L186" s="33"/>
      <c r="M186" s="81"/>
      <c r="N186" s="81"/>
      <c r="O186" s="96"/>
      <c r="Q186" s="34"/>
      <c r="R186" s="35" t="s">
        <v>318</v>
      </c>
      <c r="S186" s="35"/>
      <c r="T186" s="35"/>
      <c r="U186" s="35"/>
      <c r="V186" s="35"/>
      <c r="W186" s="35"/>
      <c r="X186" s="35"/>
      <c r="Y186" s="35"/>
      <c r="Z186" s="35"/>
      <c r="AA186" s="35"/>
      <c r="AB186" s="104"/>
      <c r="AC186" s="35"/>
      <c r="AD186" s="35"/>
      <c r="AE186" s="35"/>
      <c r="AF186" s="35"/>
      <c r="AG186" s="35"/>
      <c r="AH186" s="35"/>
      <c r="AI186" s="35"/>
      <c r="AJ186" s="35"/>
      <c r="AK186" s="35"/>
      <c r="AL186" s="35"/>
      <c r="AM186" s="35"/>
      <c r="AN186" s="36"/>
      <c r="AO186" s="36"/>
      <c r="AP186" s="36"/>
      <c r="AQ186" s="36"/>
      <c r="AR186" s="36"/>
      <c r="AS186" s="36"/>
      <c r="AT186" s="36"/>
      <c r="AU186" s="36"/>
      <c r="AV186" s="36"/>
      <c r="AW186" s="36"/>
      <c r="AX186" s="36"/>
      <c r="AY186" s="36"/>
      <c r="AZ186" s="36"/>
      <c r="BA186" s="36"/>
      <c r="BB186" s="36"/>
      <c r="BC186" s="36"/>
      <c r="BD186" s="36"/>
      <c r="BE186" s="36"/>
    </row>
    <row r="187" spans="2:57" s="30" customFormat="1" ht="15" x14ac:dyDescent="0.2">
      <c r="B187" s="52" t="s">
        <v>256</v>
      </c>
      <c r="C187" s="152"/>
      <c r="D187" s="81" t="s">
        <v>252</v>
      </c>
      <c r="G187" s="33"/>
      <c r="H187" s="81"/>
      <c r="J187" s="32"/>
      <c r="K187" s="37" t="s">
        <v>297</v>
      </c>
      <c r="L187" s="37" t="s">
        <v>185</v>
      </c>
      <c r="M187" s="81"/>
      <c r="N187" s="81"/>
      <c r="O187" s="96"/>
      <c r="Q187" s="34"/>
      <c r="R187" s="48" t="str">
        <f>IF(AND(ISNUMBER(G188),ISNUMBER(C187)),SUM(R188,R191:R193),"")</f>
        <v/>
      </c>
      <c r="S187" s="98" t="s">
        <v>160</v>
      </c>
      <c r="T187" s="35"/>
      <c r="U187" s="35"/>
      <c r="V187" s="35"/>
      <c r="W187" s="35"/>
      <c r="X187" s="35"/>
      <c r="Y187" s="35"/>
      <c r="Z187" s="35"/>
      <c r="AA187" s="35"/>
      <c r="AB187" s="104"/>
      <c r="AC187" s="35"/>
      <c r="AD187" s="35"/>
      <c r="AE187" s="35"/>
      <c r="AF187" s="35"/>
      <c r="AG187" s="35"/>
      <c r="AH187" s="35"/>
      <c r="AI187" s="35"/>
      <c r="AJ187" s="35"/>
      <c r="AK187" s="35"/>
      <c r="AL187" s="35"/>
      <c r="AM187" s="35"/>
      <c r="AN187" s="36"/>
      <c r="AO187" s="36"/>
      <c r="AP187" s="36"/>
      <c r="AQ187" s="36"/>
      <c r="AR187" s="36"/>
      <c r="AS187" s="36"/>
      <c r="AT187" s="36"/>
      <c r="AU187" s="36"/>
      <c r="AV187" s="36"/>
      <c r="AW187" s="36"/>
      <c r="AX187" s="36"/>
      <c r="AY187" s="36"/>
      <c r="AZ187" s="36"/>
      <c r="BA187" s="36"/>
      <c r="BB187" s="36"/>
      <c r="BC187" s="36"/>
      <c r="BD187" s="36"/>
      <c r="BE187" s="36"/>
    </row>
    <row r="188" spans="2:57" s="30" customFormat="1" ht="30" x14ac:dyDescent="0.2">
      <c r="B188" s="151" t="s">
        <v>660</v>
      </c>
      <c r="C188" s="475" t="s">
        <v>253</v>
      </c>
      <c r="D188" s="476"/>
      <c r="G188" s="152"/>
      <c r="H188" s="81" t="s">
        <v>5</v>
      </c>
      <c r="J188" s="169" t="s">
        <v>395</v>
      </c>
      <c r="K188" s="92" t="str">
        <f>IFERROR(IF(ISNUMBER(L188),L188,(VLOOKUP(C189,Kalusto!$C$45:$G$84,5,FALSE)*(VLOOKUP(C190,Muut!$D$40:$E$43,2,FALSE)))),"--")</f>
        <v>--</v>
      </c>
      <c r="L188" s="39"/>
      <c r="M188" s="40" t="s">
        <v>184</v>
      </c>
      <c r="N188" s="40"/>
      <c r="O188" s="259"/>
      <c r="Q188" s="34"/>
      <c r="R188" s="48" t="str">
        <f>IF(ISNUMBER(Y189*X189*K188),Y189*X189*K188,"")</f>
        <v/>
      </c>
      <c r="S188" s="98" t="s">
        <v>160</v>
      </c>
      <c r="T188" s="35" t="s">
        <v>400</v>
      </c>
      <c r="U188" s="35" t="s">
        <v>349</v>
      </c>
      <c r="V188" s="43" t="s">
        <v>397</v>
      </c>
      <c r="W188" s="35" t="s">
        <v>398</v>
      </c>
      <c r="X188" s="43" t="s">
        <v>401</v>
      </c>
      <c r="Y188" s="43" t="s">
        <v>403</v>
      </c>
      <c r="Z188" s="43" t="s">
        <v>339</v>
      </c>
      <c r="AA188" s="35"/>
      <c r="AB188" s="104"/>
      <c r="AC188" s="35"/>
      <c r="AD188" s="35"/>
      <c r="AE188" s="35"/>
      <c r="AF188" s="35"/>
      <c r="AG188" s="35"/>
      <c r="AH188" s="35"/>
      <c r="AI188" s="35"/>
      <c r="AJ188" s="35"/>
      <c r="AK188" s="35"/>
      <c r="AL188" s="35"/>
      <c r="AM188" s="35"/>
      <c r="AN188" s="36"/>
      <c r="AO188" s="36"/>
      <c r="AP188" s="36"/>
      <c r="AQ188" s="36"/>
      <c r="AR188" s="36"/>
      <c r="AS188" s="36"/>
      <c r="AT188" s="36"/>
      <c r="AU188" s="36"/>
      <c r="AV188" s="36"/>
      <c r="AW188" s="36"/>
      <c r="AX188" s="36"/>
      <c r="AY188" s="36"/>
      <c r="AZ188" s="36"/>
      <c r="BA188" s="36"/>
      <c r="BB188" s="36"/>
      <c r="BC188" s="36"/>
      <c r="BD188" s="36"/>
      <c r="BE188" s="36"/>
    </row>
    <row r="189" spans="2:57" s="30" customFormat="1" ht="15" x14ac:dyDescent="0.2">
      <c r="B189" s="76" t="s">
        <v>342</v>
      </c>
      <c r="C189" s="471" t="s">
        <v>298</v>
      </c>
      <c r="D189" s="472"/>
      <c r="E189" s="472"/>
      <c r="F189" s="472"/>
      <c r="G189" s="473"/>
      <c r="J189" s="32"/>
      <c r="K189" s="37"/>
      <c r="L189" s="37"/>
      <c r="M189" s="40"/>
      <c r="N189" s="40"/>
      <c r="O189" s="259"/>
      <c r="Q189" s="45"/>
      <c r="R189" s="104"/>
      <c r="S189" s="35"/>
      <c r="T189" s="46" t="str">
        <f>IFERROR(IF(ISNUMBER(L188),"Kohdetieto",VLOOKUP(C189,Kalusto!$C$45:$L$84,7,FALSE)),"--")</f>
        <v>--</v>
      </c>
      <c r="U189" s="46" t="str">
        <f>IFERROR(IF(ISNUMBER(L188),"Kohdetieto",VLOOKUP(C189,Kalusto!$C$45:$L$84,8,FALSE)),"--")</f>
        <v>--</v>
      </c>
      <c r="V189" s="47" t="str">
        <f>IFERROR(IF(ISNUMBER(L188),"Kohdetieto",VLOOKUP(C189,Kalusto!$C$45:$L$84,9,FALSE)),"--")</f>
        <v>--</v>
      </c>
      <c r="W189" s="47" t="str">
        <f>IFERROR(IF(ISNUMBER(L188),"Kohdetieto",VLOOKUP(C189,Kalusto!$C$45:$L$84,10,FALSE)),"--")</f>
        <v>--</v>
      </c>
      <c r="X189" s="48" t="str">
        <f>IF(ISBLANK(C187),"",C187/1000)</f>
        <v/>
      </c>
      <c r="Y189" s="46" t="str">
        <f>IF(ISNUMBER(G188),G188,"")</f>
        <v/>
      </c>
      <c r="Z189" s="49" t="str">
        <f>IF(ISNUMBER(L188),L188,K188)</f>
        <v>--</v>
      </c>
      <c r="AA189" s="35"/>
      <c r="AB189" s="104"/>
      <c r="AC189" s="35"/>
      <c r="AD189" s="35"/>
      <c r="AE189" s="35"/>
      <c r="AF189" s="35"/>
      <c r="AG189" s="35"/>
      <c r="AH189" s="35"/>
      <c r="AI189" s="35"/>
      <c r="AJ189" s="35"/>
      <c r="AK189" s="35"/>
      <c r="AL189" s="35"/>
      <c r="AM189" s="35"/>
      <c r="AN189" s="36"/>
      <c r="AO189" s="36"/>
      <c r="AP189" s="36"/>
      <c r="AQ189" s="36"/>
      <c r="AR189" s="36"/>
      <c r="AS189" s="36"/>
      <c r="AT189" s="36"/>
      <c r="AU189" s="36"/>
      <c r="AV189" s="36"/>
      <c r="AW189" s="36"/>
      <c r="AX189" s="36"/>
      <c r="AY189" s="36"/>
      <c r="AZ189" s="36"/>
      <c r="BA189" s="36"/>
      <c r="BB189" s="36"/>
      <c r="BC189" s="36"/>
      <c r="BD189" s="36"/>
      <c r="BE189" s="36"/>
    </row>
    <row r="190" spans="2:57" s="30" customFormat="1" ht="15" x14ac:dyDescent="0.2">
      <c r="B190" s="76" t="s">
        <v>457</v>
      </c>
      <c r="C190" s="156" t="s">
        <v>309</v>
      </c>
      <c r="D190" s="33"/>
      <c r="E190" s="33"/>
      <c r="F190" s="33"/>
      <c r="G190" s="33"/>
      <c r="H190" s="57"/>
      <c r="J190" s="169"/>
      <c r="K190" s="37" t="s">
        <v>297</v>
      </c>
      <c r="L190" s="37" t="s">
        <v>185</v>
      </c>
      <c r="M190" s="40"/>
      <c r="N190" s="40"/>
      <c r="O190" s="259"/>
      <c r="Q190" s="45"/>
      <c r="R190" s="35"/>
      <c r="S190" s="35"/>
      <c r="T190" s="35"/>
      <c r="U190" s="35"/>
      <c r="V190" s="177"/>
      <c r="W190" s="177"/>
      <c r="X190" s="59"/>
      <c r="Y190" s="35"/>
      <c r="Z190" s="59"/>
      <c r="AA190" s="178"/>
      <c r="AB190" s="59"/>
      <c r="AC190" s="59"/>
      <c r="AD190" s="59"/>
      <c r="AE190" s="59"/>
      <c r="AF190" s="178"/>
      <c r="AG190" s="59"/>
      <c r="AH190" s="35"/>
      <c r="AI190" s="35"/>
      <c r="AJ190" s="35"/>
      <c r="AK190" s="104"/>
      <c r="AL190" s="35"/>
      <c r="AM190" s="35"/>
      <c r="AN190" s="36"/>
      <c r="AO190" s="36"/>
      <c r="AP190" s="36"/>
      <c r="AQ190" s="36"/>
      <c r="AR190" s="36"/>
      <c r="AS190" s="36"/>
      <c r="AT190" s="36"/>
      <c r="AU190" s="36"/>
      <c r="AV190" s="36"/>
      <c r="AW190" s="36"/>
      <c r="AX190" s="36"/>
      <c r="AY190" s="36"/>
      <c r="AZ190" s="36"/>
      <c r="BA190" s="36"/>
      <c r="BB190" s="36"/>
      <c r="BC190" s="36"/>
      <c r="BD190" s="36"/>
      <c r="BE190" s="36"/>
    </row>
    <row r="191" spans="2:57" s="30" customFormat="1" ht="15" x14ac:dyDescent="0.2">
      <c r="B191" s="151" t="s">
        <v>492</v>
      </c>
      <c r="C191" s="474" t="s">
        <v>739</v>
      </c>
      <c r="D191" s="474"/>
      <c r="G191" s="152"/>
      <c r="H191" s="81" t="s">
        <v>5</v>
      </c>
      <c r="J191" s="32" t="str">
        <f>IFERROR(VLOOKUP(C191,Kalusto!$B$107:$C$110,2,FALSE),"Valitse kuljetustapa")</f>
        <v>Valitse kuljetustapa</v>
      </c>
      <c r="K191" s="92" t="str">
        <f>IFERROR(IF(ISNUMBER(L191),L191,VLOOKUP(J191,Kalusto!$C$107:$G$110,5,FALSE)),"--")</f>
        <v>--</v>
      </c>
      <c r="L191" s="39"/>
      <c r="M191" s="40" t="s">
        <v>184</v>
      </c>
      <c r="N191" s="40"/>
      <c r="O191" s="259"/>
      <c r="Q191" s="34"/>
      <c r="R191" s="48" t="str">
        <f>IF(AND(ISNUMBER(G191)*ISNUMBER(C187)),K191*G191*X189,"")</f>
        <v/>
      </c>
      <c r="S191" s="98" t="s">
        <v>160</v>
      </c>
      <c r="T191" s="104"/>
      <c r="U191" s="35"/>
      <c r="V191" s="35"/>
      <c r="W191" s="35"/>
      <c r="X191" s="35"/>
      <c r="Y191" s="35"/>
      <c r="Z191" s="35"/>
      <c r="AA191" s="35"/>
      <c r="AB191" s="35"/>
      <c r="AC191" s="35"/>
      <c r="AD191" s="35"/>
      <c r="AE191" s="35"/>
      <c r="AF191" s="35"/>
      <c r="AG191" s="35"/>
      <c r="AH191" s="35"/>
      <c r="AI191" s="35"/>
      <c r="AJ191" s="35"/>
      <c r="AK191" s="35"/>
      <c r="AL191" s="35"/>
      <c r="AM191" s="35"/>
      <c r="AN191" s="36"/>
      <c r="AO191" s="36"/>
      <c r="AP191" s="36"/>
      <c r="AQ191" s="36"/>
      <c r="AR191" s="36"/>
      <c r="AS191" s="36"/>
      <c r="AT191" s="36"/>
      <c r="AU191" s="36"/>
      <c r="AV191" s="36"/>
      <c r="AW191" s="36"/>
      <c r="AX191" s="36"/>
      <c r="AY191" s="36"/>
      <c r="AZ191" s="36"/>
      <c r="BA191" s="36"/>
      <c r="BB191" s="36"/>
      <c r="BC191" s="36"/>
      <c r="BD191" s="36"/>
      <c r="BE191" s="36"/>
    </row>
    <row r="192" spans="2:57" s="30" customFormat="1" ht="15" x14ac:dyDescent="0.2">
      <c r="B192" s="151" t="s">
        <v>492</v>
      </c>
      <c r="C192" s="474" t="s">
        <v>739</v>
      </c>
      <c r="D192" s="474"/>
      <c r="G192" s="152"/>
      <c r="H192" s="81" t="s">
        <v>5</v>
      </c>
      <c r="J192" s="32" t="str">
        <f>IFERROR(VLOOKUP(C192,Kalusto!$B$107:$C$110,2,FALSE),"Valitse kuljetustapa")</f>
        <v>Valitse kuljetustapa</v>
      </c>
      <c r="K192" s="92" t="str">
        <f>IFERROR(IF(ISNUMBER(L192),L192,VLOOKUP(J192,Kalusto!$C$107:$G$110,5,FALSE)),"--")</f>
        <v>--</v>
      </c>
      <c r="L192" s="39"/>
      <c r="M192" s="40" t="s">
        <v>184</v>
      </c>
      <c r="N192" s="40"/>
      <c r="O192" s="259"/>
      <c r="Q192" s="34"/>
      <c r="R192" s="48" t="str">
        <f>IF(AND(ISNUMBER(G192)*ISNUMBER(C187)),K192*G192*X189,"")</f>
        <v/>
      </c>
      <c r="S192" s="98" t="s">
        <v>160</v>
      </c>
      <c r="T192" s="104"/>
      <c r="U192" s="35"/>
      <c r="V192" s="35"/>
      <c r="W192" s="35"/>
      <c r="X192" s="35"/>
      <c r="Y192" s="35"/>
      <c r="Z192" s="35"/>
      <c r="AA192" s="35"/>
      <c r="AB192" s="35"/>
      <c r="AC192" s="35"/>
      <c r="AD192" s="35"/>
      <c r="AE192" s="35"/>
      <c r="AF192" s="35"/>
      <c r="AG192" s="35"/>
      <c r="AH192" s="35"/>
      <c r="AI192" s="35"/>
      <c r="AJ192" s="35"/>
      <c r="AK192" s="35"/>
      <c r="AL192" s="35"/>
      <c r="AM192" s="35"/>
      <c r="AN192" s="36"/>
      <c r="AO192" s="36"/>
      <c r="AP192" s="36"/>
      <c r="AQ192" s="36"/>
      <c r="AR192" s="36"/>
      <c r="AS192" s="36"/>
      <c r="AT192" s="36"/>
      <c r="AU192" s="36"/>
      <c r="AV192" s="36"/>
      <c r="AW192" s="36"/>
      <c r="AX192" s="36"/>
      <c r="AY192" s="36"/>
      <c r="AZ192" s="36"/>
      <c r="BA192" s="36"/>
      <c r="BB192" s="36"/>
      <c r="BC192" s="36"/>
      <c r="BD192" s="36"/>
      <c r="BE192" s="36"/>
    </row>
    <row r="193" spans="2:59" s="30" customFormat="1" ht="15" x14ac:dyDescent="0.2">
      <c r="B193" s="151" t="s">
        <v>492</v>
      </c>
      <c r="C193" s="474" t="s">
        <v>739</v>
      </c>
      <c r="D193" s="474"/>
      <c r="G193" s="152"/>
      <c r="H193" s="81" t="s">
        <v>5</v>
      </c>
      <c r="J193" s="32" t="str">
        <f>IFERROR(VLOOKUP(C193,Kalusto!$B$107:$C$110,2,FALSE),"Valitse kuljetustapa")</f>
        <v>Valitse kuljetustapa</v>
      </c>
      <c r="K193" s="92" t="str">
        <f>IFERROR(IF(ISNUMBER(L193),L193,VLOOKUP(J193,Kalusto!$C$107:$G$110,5,FALSE)),"--")</f>
        <v>--</v>
      </c>
      <c r="L193" s="39"/>
      <c r="M193" s="40" t="s">
        <v>184</v>
      </c>
      <c r="N193" s="40"/>
      <c r="O193" s="259"/>
      <c r="Q193" s="34"/>
      <c r="R193" s="48" t="str">
        <f>IF(AND(ISNUMBER(G193)*ISNUMBER(C187)),K193*G193*X189,"")</f>
        <v/>
      </c>
      <c r="S193" s="98" t="s">
        <v>160</v>
      </c>
      <c r="T193" s="104"/>
      <c r="U193" s="35"/>
      <c r="V193" s="35"/>
      <c r="W193" s="35"/>
      <c r="X193" s="35"/>
      <c r="Y193" s="35"/>
      <c r="Z193" s="35"/>
      <c r="AA193" s="35"/>
      <c r="AB193" s="35"/>
      <c r="AC193" s="35"/>
      <c r="AD193" s="35"/>
      <c r="AE193" s="35"/>
      <c r="AF193" s="35"/>
      <c r="AG193" s="35"/>
      <c r="AH193" s="35"/>
      <c r="AI193" s="35"/>
      <c r="AJ193" s="35"/>
      <c r="AK193" s="35"/>
      <c r="AL193" s="35"/>
      <c r="AM193" s="35"/>
      <c r="AN193" s="36"/>
      <c r="AO193" s="36"/>
      <c r="AP193" s="36"/>
      <c r="AQ193" s="36"/>
      <c r="AR193" s="36"/>
      <c r="AS193" s="36"/>
      <c r="AT193" s="36"/>
      <c r="AU193" s="36"/>
      <c r="AV193" s="36"/>
      <c r="AW193" s="36"/>
      <c r="AX193" s="36"/>
      <c r="AY193" s="36"/>
      <c r="AZ193" s="36"/>
      <c r="BA193" s="36"/>
      <c r="BB193" s="36"/>
      <c r="BC193" s="36"/>
      <c r="BD193" s="36"/>
      <c r="BE193" s="36"/>
    </row>
    <row r="194" spans="2:59" s="30" customFormat="1" ht="15" x14ac:dyDescent="0.2">
      <c r="C194" s="33"/>
      <c r="D194" s="81"/>
      <c r="G194" s="33"/>
      <c r="H194" s="81"/>
      <c r="J194" s="32"/>
      <c r="K194" s="33"/>
      <c r="L194" s="33"/>
      <c r="M194" s="81"/>
      <c r="N194" s="81"/>
      <c r="O194" s="81"/>
      <c r="Q194" s="34"/>
      <c r="R194" s="95"/>
      <c r="S194" s="35"/>
      <c r="T194" s="35"/>
      <c r="U194" s="35"/>
      <c r="V194" s="35"/>
      <c r="W194" s="35"/>
      <c r="X194" s="35"/>
      <c r="Y194" s="35"/>
      <c r="Z194" s="35"/>
      <c r="AA194" s="35"/>
      <c r="AB194" s="35"/>
      <c r="AC194" s="35"/>
      <c r="AD194" s="35"/>
      <c r="AE194" s="35"/>
      <c r="AF194" s="35"/>
      <c r="AG194" s="35"/>
      <c r="AH194" s="35"/>
      <c r="AI194" s="35"/>
      <c r="AJ194" s="35"/>
      <c r="AK194" s="35"/>
      <c r="AL194" s="35"/>
      <c r="AM194" s="35"/>
      <c r="AN194" s="36"/>
      <c r="AO194" s="36"/>
      <c r="AP194" s="36"/>
      <c r="AQ194" s="36"/>
      <c r="AR194" s="36"/>
      <c r="AS194" s="36"/>
      <c r="AT194" s="36"/>
      <c r="AU194" s="36"/>
      <c r="AV194" s="36"/>
      <c r="AW194" s="36"/>
      <c r="AX194" s="36"/>
      <c r="AY194" s="36"/>
      <c r="AZ194" s="36"/>
      <c r="BA194" s="36"/>
      <c r="BB194" s="36"/>
      <c r="BC194" s="36"/>
      <c r="BD194" s="36"/>
      <c r="BE194" s="36"/>
    </row>
    <row r="195" spans="2:59" s="289" customFormat="1" ht="18" x14ac:dyDescent="0.2">
      <c r="B195" s="286" t="s">
        <v>292</v>
      </c>
      <c r="C195" s="287"/>
      <c r="D195" s="288"/>
      <c r="G195" s="287"/>
      <c r="H195" s="288"/>
      <c r="K195" s="287"/>
      <c r="L195" s="287"/>
      <c r="M195" s="288"/>
      <c r="N195" s="288"/>
      <c r="O195" s="291"/>
      <c r="P195" s="311"/>
      <c r="Q195" s="295"/>
      <c r="S195" s="294"/>
      <c r="T195" s="294"/>
      <c r="U195" s="294"/>
      <c r="V195" s="294"/>
      <c r="W195" s="294"/>
      <c r="X195" s="294"/>
      <c r="Y195" s="294"/>
      <c r="Z195" s="294"/>
      <c r="AA195" s="294"/>
      <c r="AB195" s="294"/>
      <c r="AC195" s="294"/>
      <c r="AD195" s="294"/>
      <c r="AE195" s="294"/>
      <c r="AF195" s="294"/>
      <c r="AG195" s="294"/>
      <c r="AH195" s="294"/>
      <c r="AI195" s="294"/>
      <c r="AJ195" s="294"/>
      <c r="AK195" s="294"/>
      <c r="AL195" s="294"/>
      <c r="AM195" s="294"/>
      <c r="AN195" s="295"/>
      <c r="AO195" s="295"/>
      <c r="AP195" s="295"/>
      <c r="AQ195" s="295"/>
      <c r="AR195" s="295"/>
      <c r="AS195" s="295"/>
      <c r="AT195" s="295"/>
      <c r="AU195" s="295"/>
      <c r="AV195" s="295"/>
      <c r="AW195" s="295"/>
      <c r="AX195" s="295"/>
      <c r="AY195" s="295"/>
      <c r="AZ195" s="295"/>
      <c r="BA195" s="295"/>
      <c r="BB195" s="295"/>
      <c r="BC195" s="295"/>
      <c r="BD195" s="295"/>
      <c r="BE195" s="295"/>
    </row>
    <row r="196" spans="2:59" s="30" customFormat="1" ht="15.75" x14ac:dyDescent="0.2">
      <c r="B196" s="8"/>
      <c r="C196" s="33"/>
      <c r="D196" s="81"/>
      <c r="G196" s="33"/>
      <c r="H196" s="81"/>
      <c r="J196" s="32"/>
      <c r="M196" s="83"/>
      <c r="N196" s="83"/>
      <c r="Q196" s="129"/>
      <c r="R196" s="35"/>
      <c r="S196" s="35"/>
      <c r="T196" s="36"/>
      <c r="U196" s="35"/>
      <c r="V196" s="43"/>
      <c r="W196" s="35"/>
      <c r="X196" s="35"/>
      <c r="Y196" s="35"/>
      <c r="Z196" s="35"/>
      <c r="AA196" s="35"/>
      <c r="AB196" s="35"/>
      <c r="AC196" s="35"/>
      <c r="AD196" s="35"/>
      <c r="AE196" s="35"/>
      <c r="AF196" s="35"/>
      <c r="AG196" s="35"/>
      <c r="AH196" s="35"/>
      <c r="AI196" s="35"/>
      <c r="AJ196" s="35"/>
      <c r="AK196" s="35"/>
      <c r="AL196" s="35"/>
      <c r="AM196" s="35"/>
      <c r="AN196" s="35"/>
      <c r="AO196" s="35"/>
      <c r="AP196" s="36"/>
      <c r="AQ196" s="36"/>
      <c r="AR196" s="36"/>
      <c r="AS196" s="36"/>
      <c r="AT196" s="36"/>
      <c r="AU196" s="36"/>
      <c r="AV196" s="36"/>
      <c r="AW196" s="36"/>
      <c r="AX196" s="36"/>
      <c r="AY196" s="36"/>
      <c r="AZ196" s="36"/>
      <c r="BA196" s="36"/>
      <c r="BB196" s="36"/>
      <c r="BC196" s="36"/>
      <c r="BD196" s="36"/>
      <c r="BE196" s="36"/>
      <c r="BF196" s="36"/>
      <c r="BG196" s="36"/>
    </row>
    <row r="197" spans="2:59" s="30" customFormat="1" ht="15" customHeight="1" x14ac:dyDescent="0.2">
      <c r="B197" s="30" t="s">
        <v>753</v>
      </c>
      <c r="J197" s="32"/>
      <c r="K197" s="37"/>
      <c r="L197" s="37"/>
      <c r="M197" s="81"/>
      <c r="N197" s="81"/>
      <c r="O197" s="249"/>
      <c r="Q197" s="34"/>
      <c r="R197" s="35"/>
      <c r="S197" s="35"/>
      <c r="T197" s="35"/>
      <c r="U197" s="35"/>
      <c r="V197" s="35"/>
      <c r="W197" s="35"/>
      <c r="X197" s="35"/>
      <c r="Y197" s="35"/>
      <c r="Z197" s="35"/>
      <c r="AA197" s="35"/>
      <c r="AB197" s="35"/>
      <c r="AC197" s="35"/>
      <c r="AD197" s="35"/>
      <c r="AE197" s="35"/>
      <c r="AF197" s="35"/>
      <c r="AG197" s="35"/>
      <c r="AH197" s="35"/>
      <c r="AI197" s="35"/>
      <c r="AJ197" s="35"/>
      <c r="AK197" s="36"/>
      <c r="AL197" s="36"/>
      <c r="AM197" s="36"/>
      <c r="AN197" s="36"/>
      <c r="AO197" s="36"/>
      <c r="AP197" s="36"/>
      <c r="AQ197" s="36"/>
      <c r="AR197" s="36"/>
      <c r="AS197" s="36"/>
      <c r="AT197" s="36"/>
      <c r="AU197" s="36"/>
      <c r="AV197" s="36"/>
      <c r="AW197" s="36"/>
      <c r="AX197" s="36"/>
      <c r="AY197" s="36"/>
      <c r="AZ197" s="36"/>
      <c r="BA197" s="36"/>
      <c r="BB197" s="36"/>
    </row>
    <row r="198" spans="2:59" s="30" customFormat="1" ht="15" customHeight="1" x14ac:dyDescent="0.2">
      <c r="J198" s="32"/>
      <c r="K198" s="37" t="s">
        <v>692</v>
      </c>
      <c r="L198" s="37" t="s">
        <v>185</v>
      </c>
      <c r="M198" s="81"/>
      <c r="N198" s="81"/>
      <c r="O198" s="249" t="s">
        <v>584</v>
      </c>
      <c r="Q198" s="34"/>
      <c r="R198" s="43" t="s">
        <v>318</v>
      </c>
      <c r="S198" s="35"/>
      <c r="T198" s="35"/>
      <c r="U198" s="35"/>
      <c r="V198" s="35"/>
      <c r="W198" s="35"/>
      <c r="X198" s="35"/>
      <c r="Y198" s="35"/>
      <c r="Z198" s="35"/>
      <c r="AA198" s="35"/>
      <c r="AB198" s="35"/>
      <c r="AC198" s="35"/>
      <c r="AD198" s="35"/>
      <c r="AE198" s="35"/>
      <c r="AF198" s="35"/>
      <c r="AG198" s="35"/>
      <c r="AH198" s="35"/>
      <c r="AI198" s="35"/>
      <c r="AJ198" s="35"/>
      <c r="AK198" s="36"/>
      <c r="AL198" s="36"/>
      <c r="AM198" s="36"/>
      <c r="AN198" s="36"/>
      <c r="AO198" s="36"/>
      <c r="AP198" s="36"/>
      <c r="AQ198" s="36"/>
      <c r="AR198" s="36"/>
      <c r="AS198" s="36"/>
      <c r="AT198" s="36"/>
      <c r="AU198" s="36"/>
      <c r="AV198" s="36"/>
      <c r="AW198" s="36"/>
      <c r="AX198" s="36"/>
      <c r="AY198" s="36"/>
      <c r="AZ198" s="36"/>
      <c r="BA198" s="36"/>
      <c r="BB198" s="36"/>
    </row>
    <row r="199" spans="2:59" s="30" customFormat="1" ht="15" x14ac:dyDescent="0.2">
      <c r="B199" s="76" t="s">
        <v>549</v>
      </c>
      <c r="C199" s="471" t="s">
        <v>265</v>
      </c>
      <c r="D199" s="473"/>
      <c r="E199" s="33"/>
      <c r="G199" s="33"/>
      <c r="H199" s="81"/>
      <c r="J199" s="32" t="s">
        <v>696</v>
      </c>
      <c r="K199" s="92" t="str">
        <f>IF(ISNUMBER(L199),L199,IF(C199=Pudotusvalikot!$Z$3,"--",IF(C199=Pudotusvalikot!$Z$4,Muut!$F$11/1000+Muut!$F$13/1000,IF(C199=Pudotusvalikot!$Z$5,Muut!$F$25+Muut!$F$26,IF(C199=Pudotusvalikot!$Z$6,Muut!$F$16+Muut!$F$19,Muut!$F$15+Muut!$F$18)))))</f>
        <v>--</v>
      </c>
      <c r="L199" s="71"/>
      <c r="M199" s="83" t="str">
        <f>IF(ISNUMBER(L199),"gCO2/e-yksikkö",IF(C199=Pudotusvalikot!$R$3,"--",IF(C199=Pudotusvalikot!$R$4,"gCO2/kWh",IF(C199=Pudotusvalikot!$R$5,"kgCO2/h",IF(C199=Pudotusvalikot!$R$6,"gCO2/kWh",IF(C199=Pudotusvalikot!$R$7,"kgCO2/l","kgCO2/kWh"))))))</f>
        <v>kgCO2/kWh</v>
      </c>
      <c r="N199" s="83"/>
      <c r="O199" s="250"/>
      <c r="Q199" s="129"/>
      <c r="R199" s="105" t="str">
        <f>IF(ISNUMBER(R203),R203,IF(ISNUMBER(R205),R205,""))</f>
        <v/>
      </c>
      <c r="S199" s="98" t="s">
        <v>160</v>
      </c>
      <c r="T199" s="43"/>
      <c r="U199" s="35"/>
      <c r="V199" s="43"/>
      <c r="W199" s="35"/>
      <c r="X199" s="35"/>
      <c r="Y199" s="35"/>
      <c r="Z199" s="35"/>
      <c r="AA199" s="35"/>
      <c r="AB199" s="35"/>
      <c r="AC199" s="35"/>
      <c r="AD199" s="35"/>
      <c r="AE199" s="35"/>
      <c r="AF199" s="35"/>
      <c r="AG199" s="35"/>
      <c r="AH199" s="35"/>
      <c r="AI199" s="35"/>
      <c r="AJ199" s="35"/>
      <c r="AK199" s="35"/>
      <c r="AL199" s="35"/>
      <c r="AM199" s="35"/>
      <c r="AN199" s="35"/>
      <c r="AO199" s="35"/>
      <c r="AP199" s="36"/>
      <c r="AQ199" s="36"/>
      <c r="AR199" s="36"/>
      <c r="AS199" s="36"/>
      <c r="AT199" s="36"/>
      <c r="AU199" s="36"/>
      <c r="AV199" s="36"/>
      <c r="AW199" s="36"/>
      <c r="AX199" s="36"/>
      <c r="AY199" s="36"/>
      <c r="AZ199" s="36"/>
      <c r="BA199" s="36"/>
      <c r="BB199" s="36"/>
      <c r="BC199" s="36"/>
      <c r="BD199" s="36"/>
      <c r="BE199" s="36"/>
      <c r="BF199" s="36"/>
      <c r="BG199" s="36"/>
    </row>
    <row r="200" spans="2:59" s="30" customFormat="1" ht="15" x14ac:dyDescent="0.2">
      <c r="B200" s="166" t="s">
        <v>486</v>
      </c>
      <c r="C200" s="156"/>
      <c r="D200" s="81" t="s">
        <v>8</v>
      </c>
      <c r="G200" s="33"/>
      <c r="H200" s="81"/>
      <c r="J200" s="32" t="s">
        <v>486</v>
      </c>
      <c r="K200" s="382">
        <f>IF(ISNUMBER(L200),L200,IF(OR(C199="Bensiini",C199="Diesel"),Muut!$F$35,Muut!$F$36))</f>
        <v>0.4</v>
      </c>
      <c r="L200" s="382" t="str">
        <f>IF(ISNUMBER(C200),C200/100,"--")</f>
        <v>--</v>
      </c>
      <c r="M200" s="83"/>
      <c r="N200" s="83"/>
      <c r="O200" s="260"/>
      <c r="Q200" s="34"/>
      <c r="R200" s="59"/>
      <c r="S200" s="98"/>
      <c r="T200" s="43"/>
      <c r="U200" s="35"/>
      <c r="V200" s="35"/>
      <c r="W200" s="35"/>
      <c r="X200" s="35"/>
      <c r="Y200" s="35"/>
      <c r="Z200" s="35"/>
      <c r="AA200" s="35"/>
      <c r="AB200" s="35"/>
      <c r="AC200" s="35"/>
      <c r="AD200" s="35"/>
      <c r="AE200" s="35"/>
      <c r="AF200" s="35"/>
      <c r="AG200" s="35"/>
      <c r="AH200" s="35"/>
      <c r="AI200" s="35"/>
      <c r="AJ200" s="35"/>
      <c r="AK200" s="35"/>
      <c r="AL200" s="35"/>
      <c r="AM200" s="35"/>
      <c r="AN200" s="36"/>
      <c r="AO200" s="36"/>
      <c r="AP200" s="36"/>
      <c r="AQ200" s="36"/>
      <c r="AR200" s="36"/>
      <c r="AS200" s="36"/>
      <c r="AT200" s="36"/>
      <c r="AU200" s="36"/>
      <c r="AV200" s="36"/>
      <c r="AW200" s="36"/>
      <c r="AX200" s="36"/>
      <c r="AY200" s="36"/>
      <c r="AZ200" s="36"/>
      <c r="BA200" s="36"/>
      <c r="BB200" s="36"/>
      <c r="BC200" s="36"/>
      <c r="BD200" s="36"/>
      <c r="BE200" s="36"/>
    </row>
    <row r="201" spans="2:59" s="30" customFormat="1" ht="15" x14ac:dyDescent="0.2">
      <c r="B201" s="52" t="s">
        <v>283</v>
      </c>
      <c r="C201" s="156"/>
      <c r="D201" s="86" t="s">
        <v>267</v>
      </c>
      <c r="E201" s="77"/>
      <c r="G201" s="77"/>
      <c r="H201" s="81"/>
      <c r="M201" s="81"/>
      <c r="N201" s="81"/>
      <c r="O201" s="96"/>
      <c r="Q201" s="129"/>
      <c r="R201" s="9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6"/>
      <c r="AQ201" s="36"/>
      <c r="AR201" s="36"/>
      <c r="AS201" s="36"/>
      <c r="AT201" s="36"/>
      <c r="AU201" s="36"/>
      <c r="AV201" s="36"/>
      <c r="AW201" s="36"/>
      <c r="AX201" s="36"/>
      <c r="AY201" s="36"/>
      <c r="AZ201" s="36"/>
      <c r="BA201" s="36"/>
      <c r="BB201" s="36"/>
      <c r="BC201" s="36"/>
      <c r="BD201" s="36"/>
      <c r="BE201" s="36"/>
      <c r="BF201" s="36"/>
      <c r="BG201" s="36"/>
    </row>
    <row r="202" spans="2:59" s="30" customFormat="1" ht="15" x14ac:dyDescent="0.2">
      <c r="B202" s="52" t="s">
        <v>548</v>
      </c>
      <c r="C202" s="33"/>
      <c r="D202" s="81"/>
      <c r="G202" s="33"/>
      <c r="H202" s="81"/>
      <c r="J202" s="32"/>
      <c r="K202" s="37"/>
      <c r="L202" s="37"/>
      <c r="M202" s="81"/>
      <c r="N202" s="81"/>
      <c r="O202" s="96"/>
      <c r="Q202" s="129"/>
      <c r="R202" s="43" t="s">
        <v>318</v>
      </c>
      <c r="S202" s="35"/>
      <c r="T202" s="35" t="s">
        <v>171</v>
      </c>
      <c r="U202" s="35"/>
      <c r="V202" s="104"/>
      <c r="W202" s="104"/>
      <c r="X202" s="35"/>
      <c r="Y202" s="35"/>
      <c r="Z202" s="35"/>
      <c r="AA202" s="35"/>
      <c r="AB202" s="35"/>
      <c r="AC202" s="35"/>
      <c r="AD202" s="35"/>
      <c r="AE202" s="35"/>
      <c r="AF202" s="35"/>
      <c r="AG202" s="35"/>
      <c r="AH202" s="35"/>
      <c r="AI202" s="35"/>
      <c r="AJ202" s="35"/>
      <c r="AK202" s="35"/>
      <c r="AL202" s="35"/>
      <c r="AM202" s="35"/>
      <c r="AN202" s="35"/>
      <c r="AO202" s="35"/>
      <c r="AP202" s="36"/>
      <c r="AQ202" s="36"/>
      <c r="AR202" s="36"/>
      <c r="AS202" s="36"/>
      <c r="AT202" s="36"/>
      <c r="AU202" s="36"/>
      <c r="AV202" s="36"/>
      <c r="AW202" s="36"/>
      <c r="AX202" s="36"/>
      <c r="AY202" s="36"/>
      <c r="AZ202" s="36"/>
      <c r="BA202" s="36"/>
      <c r="BB202" s="36"/>
      <c r="BC202" s="36"/>
      <c r="BD202" s="36"/>
      <c r="BE202" s="36"/>
      <c r="BF202" s="36"/>
      <c r="BG202" s="36"/>
    </row>
    <row r="203" spans="2:59" s="30" customFormat="1" ht="30" x14ac:dyDescent="0.2">
      <c r="B203" s="166" t="s">
        <v>553</v>
      </c>
      <c r="C203" s="152"/>
      <c r="D203" s="81" t="s">
        <v>264</v>
      </c>
      <c r="E203" s="33"/>
      <c r="G203" s="33"/>
      <c r="H203" s="81"/>
      <c r="M203" s="81"/>
      <c r="N203" s="81"/>
      <c r="O203" s="96"/>
      <c r="Q203" s="129"/>
      <c r="R203" s="191" t="str">
        <f>IF(ISNUMBER(C203),IF(AND(ISNUMBER(C201),C199="Aggregaatti"),C201*IF(D201="vuosi",365*24,IF(D201="kuukausi",30*24,IF(D201="päivä",24,1)))*T203,IF(C199="Aggregaatti",C203*(Muut!$F$15+Muut!$F$19),C203*T203)),"")</f>
        <v/>
      </c>
      <c r="S203" s="98" t="s">
        <v>160</v>
      </c>
      <c r="T203" s="191" t="str">
        <f>IF(ISNUMBER(C203),IF(C199="Ostosähkö", (K199),IF(C199="Aurinkopaneelit",(K199),K199)),"")</f>
        <v/>
      </c>
      <c r="U203" s="35"/>
      <c r="V203" s="104"/>
      <c r="W203" s="104"/>
      <c r="X203" s="35"/>
      <c r="Y203" s="35"/>
      <c r="Z203" s="35"/>
      <c r="AA203" s="35"/>
      <c r="AB203" s="35"/>
      <c r="AC203" s="35"/>
      <c r="AD203" s="35"/>
      <c r="AE203" s="35"/>
      <c r="AF203" s="35"/>
      <c r="AG203" s="35"/>
      <c r="AH203" s="35"/>
      <c r="AI203" s="35"/>
      <c r="AJ203" s="35"/>
      <c r="AK203" s="35"/>
      <c r="AL203" s="35"/>
      <c r="AM203" s="35"/>
      <c r="AN203" s="35"/>
      <c r="AO203" s="35"/>
      <c r="AP203" s="36"/>
      <c r="AQ203" s="36"/>
      <c r="AR203" s="36"/>
      <c r="AS203" s="36"/>
      <c r="AT203" s="36"/>
      <c r="AU203" s="36"/>
      <c r="AV203" s="36"/>
      <c r="AW203" s="36"/>
      <c r="AX203" s="36"/>
      <c r="AY203" s="36"/>
      <c r="AZ203" s="36"/>
      <c r="BA203" s="36"/>
      <c r="BB203" s="36"/>
      <c r="BC203" s="36"/>
      <c r="BD203" s="36"/>
      <c r="BE203" s="36"/>
      <c r="BF203" s="36"/>
      <c r="BG203" s="36"/>
    </row>
    <row r="204" spans="2:59" s="30" customFormat="1" ht="15" x14ac:dyDescent="0.2">
      <c r="B204" s="52" t="s">
        <v>708</v>
      </c>
      <c r="C204" s="33"/>
      <c r="D204" s="81"/>
      <c r="G204" s="77"/>
      <c r="H204" s="81"/>
      <c r="M204" s="81"/>
      <c r="N204" s="81"/>
      <c r="O204" s="96"/>
      <c r="Q204" s="129"/>
      <c r="R204" s="43" t="s">
        <v>318</v>
      </c>
      <c r="S204" s="35"/>
      <c r="T204" s="35" t="s">
        <v>705</v>
      </c>
      <c r="U204" s="35"/>
      <c r="V204" s="104"/>
      <c r="W204" s="104"/>
      <c r="X204" s="35"/>
      <c r="Y204" s="35"/>
      <c r="Z204" s="35"/>
      <c r="AA204" s="35"/>
      <c r="AB204" s="35"/>
      <c r="AC204" s="35"/>
      <c r="AD204" s="35"/>
      <c r="AE204" s="35"/>
      <c r="AF204" s="35"/>
      <c r="AG204" s="35"/>
      <c r="AH204" s="35"/>
      <c r="AI204" s="35"/>
      <c r="AJ204" s="35"/>
      <c r="AK204" s="35"/>
      <c r="AL204" s="35"/>
      <c r="AM204" s="35"/>
      <c r="AN204" s="35"/>
      <c r="AO204" s="35"/>
      <c r="AP204" s="36"/>
      <c r="AQ204" s="36"/>
      <c r="AR204" s="36"/>
      <c r="AS204" s="36"/>
      <c r="AT204" s="36"/>
      <c r="AU204" s="36"/>
      <c r="AV204" s="36"/>
      <c r="AW204" s="36"/>
      <c r="AX204" s="36"/>
      <c r="AY204" s="36"/>
      <c r="AZ204" s="36"/>
      <c r="BA204" s="36"/>
      <c r="BB204" s="36"/>
      <c r="BC204" s="36"/>
      <c r="BD204" s="36"/>
      <c r="BE204" s="36"/>
      <c r="BF204" s="36"/>
      <c r="BG204" s="36"/>
    </row>
    <row r="205" spans="2:59" s="30" customFormat="1" ht="15" x14ac:dyDescent="0.2">
      <c r="B205" s="44" t="s">
        <v>551</v>
      </c>
      <c r="C205" s="441"/>
      <c r="D205" s="81" t="s">
        <v>195</v>
      </c>
      <c r="G205" s="77"/>
      <c r="H205" s="81"/>
      <c r="M205" s="81"/>
      <c r="N205" s="81"/>
      <c r="O205" s="96"/>
      <c r="Q205" s="129"/>
      <c r="R205" s="191" t="str">
        <f>IF(ISNUMBER(C205),IF(AND(ISNUMBER(C201),C199="Aggregaatti"),IF(D201="vuosi",365*24,IF(D201="kuukausi",30*24,IF(D201="päivä",24,1)))*C201*T205,IF(AND(ISNUMBER(C201),OR(C199="Ostosähkö",C199="Aurinkopaneelit")),IF(D201="vuosi",365*24,IF(D201="kuukausi",30*24,IF(D201="päivä",24,1)))*C201*T205,IF(ISNUMBER(C201),IF(D201="vuosi",365*24,IF(D201="kuukausi",30*24,IF(D201="päivä",24,1)))*C201*C205/1000/((Muut!$M$15*Muut!$O$15+Muut!$M$16*Muut!$O$16)/2)*(Muut!$F$16+Muut!$F$19+Muut!$F$18+Muut!$F$15)/2,""))),"")</f>
        <v/>
      </c>
      <c r="S205" s="98" t="s">
        <v>160</v>
      </c>
      <c r="T205" s="191" t="str">
        <f>IF(ISNUMBER(C205),IF(C199="Ostosähkö",K199/K200,IF(C199="Aurinkopaneelit",K199/K200,IF(C199="Aggregaatti",K199,K199/K200))),IF(AND(C199="Aggregaatti",ISNUMBER(C201)),K199,""))</f>
        <v/>
      </c>
      <c r="U205" s="35"/>
      <c r="V205" s="104"/>
      <c r="W205" s="104"/>
      <c r="X205" s="35"/>
      <c r="Y205" s="35"/>
      <c r="Z205" s="35"/>
      <c r="AA205" s="35"/>
      <c r="AB205" s="35"/>
      <c r="AC205" s="35"/>
      <c r="AD205" s="35"/>
      <c r="AE205" s="35"/>
      <c r="AF205" s="35"/>
      <c r="AG205" s="35"/>
      <c r="AH205" s="35"/>
      <c r="AI205" s="35"/>
      <c r="AJ205" s="35"/>
      <c r="AK205" s="35"/>
      <c r="AL205" s="35"/>
      <c r="AM205" s="35"/>
      <c r="AN205" s="35"/>
      <c r="AO205" s="35"/>
      <c r="AP205" s="36"/>
      <c r="AQ205" s="36"/>
      <c r="AR205" s="36"/>
      <c r="AS205" s="36"/>
      <c r="AT205" s="36"/>
      <c r="AU205" s="36"/>
      <c r="AV205" s="36"/>
      <c r="AW205" s="36"/>
      <c r="AX205" s="36"/>
      <c r="AY205" s="36"/>
      <c r="AZ205" s="36"/>
      <c r="BA205" s="36"/>
      <c r="BB205" s="36"/>
      <c r="BC205" s="36"/>
      <c r="BD205" s="36"/>
      <c r="BE205" s="36"/>
      <c r="BF205" s="36"/>
      <c r="BG205" s="36"/>
    </row>
    <row r="206" spans="2:59" s="30" customFormat="1" ht="15" x14ac:dyDescent="0.2">
      <c r="D206" s="81"/>
      <c r="H206" s="81"/>
      <c r="M206" s="81"/>
      <c r="N206" s="81"/>
      <c r="O206" s="81"/>
      <c r="Q206" s="129"/>
      <c r="R206" s="94"/>
      <c r="S206" s="104"/>
      <c r="T206" s="36"/>
      <c r="U206" s="35"/>
      <c r="V206" s="35"/>
      <c r="W206" s="35"/>
      <c r="X206" s="35"/>
      <c r="Y206" s="35"/>
      <c r="Z206" s="35"/>
      <c r="AA206" s="35"/>
      <c r="AB206" s="35"/>
      <c r="AC206" s="35"/>
      <c r="AD206" s="35"/>
      <c r="AE206" s="35"/>
      <c r="AF206" s="35"/>
      <c r="AG206" s="35"/>
      <c r="AH206" s="35"/>
      <c r="AI206" s="35"/>
      <c r="AJ206" s="35"/>
      <c r="AK206" s="35"/>
      <c r="AL206" s="35"/>
      <c r="AM206" s="35"/>
      <c r="AN206" s="35"/>
      <c r="AO206" s="35"/>
      <c r="AP206" s="36"/>
      <c r="AQ206" s="36"/>
      <c r="AR206" s="36"/>
      <c r="AS206" s="36"/>
      <c r="AT206" s="36"/>
      <c r="AU206" s="36"/>
      <c r="AV206" s="36"/>
      <c r="AW206" s="36"/>
      <c r="AX206" s="36"/>
      <c r="AY206" s="36"/>
      <c r="AZ206" s="36"/>
      <c r="BA206" s="36"/>
      <c r="BB206" s="36"/>
      <c r="BC206" s="36"/>
      <c r="BD206" s="36"/>
      <c r="BE206" s="36"/>
      <c r="BF206" s="36"/>
      <c r="BG206" s="36"/>
    </row>
    <row r="207" spans="2:59" s="289" customFormat="1" ht="18" x14ac:dyDescent="0.2">
      <c r="B207" s="286" t="s">
        <v>289</v>
      </c>
      <c r="C207" s="287"/>
      <c r="D207" s="288"/>
      <c r="G207" s="287"/>
      <c r="H207" s="288"/>
      <c r="K207" s="287"/>
      <c r="L207" s="287"/>
      <c r="M207" s="288"/>
      <c r="N207" s="288"/>
      <c r="O207" s="291"/>
      <c r="P207" s="311"/>
      <c r="Q207" s="295"/>
      <c r="S207" s="294"/>
      <c r="T207" s="294"/>
      <c r="U207" s="294"/>
      <c r="V207" s="294"/>
      <c r="W207" s="294"/>
      <c r="X207" s="294"/>
      <c r="Y207" s="294"/>
      <c r="Z207" s="294"/>
      <c r="AA207" s="294"/>
      <c r="AB207" s="294"/>
      <c r="AC207" s="294"/>
      <c r="AD207" s="294"/>
      <c r="AE207" s="294"/>
      <c r="AF207" s="294"/>
      <c r="AG207" s="294"/>
      <c r="AH207" s="294"/>
      <c r="AI207" s="294"/>
      <c r="AJ207" s="294"/>
      <c r="AK207" s="294"/>
      <c r="AL207" s="294"/>
      <c r="AM207" s="294"/>
      <c r="AN207" s="295"/>
      <c r="AO207" s="295"/>
      <c r="AP207" s="295"/>
      <c r="AQ207" s="295"/>
      <c r="AR207" s="295"/>
      <c r="AS207" s="295"/>
      <c r="AT207" s="295"/>
      <c r="AU207" s="295"/>
      <c r="AV207" s="295"/>
      <c r="AW207" s="295"/>
      <c r="AX207" s="295"/>
      <c r="AY207" s="295"/>
      <c r="AZ207" s="295"/>
      <c r="BA207" s="295"/>
      <c r="BB207" s="295"/>
      <c r="BC207" s="295"/>
      <c r="BD207" s="295"/>
      <c r="BE207" s="295"/>
    </row>
    <row r="208" spans="2:59" s="30" customFormat="1" ht="15.75" x14ac:dyDescent="0.2">
      <c r="B208" s="8"/>
      <c r="C208" s="33"/>
      <c r="D208" s="81"/>
      <c r="G208" s="33"/>
      <c r="H208" s="81"/>
      <c r="J208" s="32"/>
      <c r="M208" s="83"/>
      <c r="N208" s="83"/>
      <c r="Q208" s="129"/>
      <c r="R208" s="35"/>
      <c r="S208" s="35"/>
      <c r="T208" s="36"/>
      <c r="U208" s="35"/>
      <c r="V208" s="43"/>
      <c r="W208" s="35"/>
      <c r="X208" s="35"/>
      <c r="Y208" s="35"/>
      <c r="Z208" s="35"/>
      <c r="AA208" s="35"/>
      <c r="AB208" s="35"/>
      <c r="AC208" s="35"/>
      <c r="AD208" s="35"/>
      <c r="AE208" s="35"/>
      <c r="AF208" s="35"/>
      <c r="AG208" s="35"/>
      <c r="AH208" s="35"/>
      <c r="AI208" s="35"/>
      <c r="AJ208" s="35"/>
      <c r="AK208" s="35"/>
      <c r="AL208" s="35"/>
      <c r="AM208" s="35"/>
      <c r="AN208" s="35"/>
      <c r="AO208" s="35"/>
      <c r="AP208" s="36"/>
      <c r="AQ208" s="36"/>
      <c r="AR208" s="36"/>
      <c r="AS208" s="36"/>
      <c r="AT208" s="36"/>
      <c r="AU208" s="36"/>
      <c r="AV208" s="36"/>
      <c r="AW208" s="36"/>
      <c r="AX208" s="36"/>
      <c r="AY208" s="36"/>
      <c r="AZ208" s="36"/>
      <c r="BA208" s="36"/>
      <c r="BB208" s="36"/>
      <c r="BC208" s="36"/>
      <c r="BD208" s="36"/>
      <c r="BE208" s="36"/>
      <c r="BF208" s="36"/>
      <c r="BG208" s="36"/>
    </row>
    <row r="209" spans="2:59" s="30" customFormat="1" ht="15" customHeight="1" x14ac:dyDescent="0.2">
      <c r="B209" s="30" t="s">
        <v>753</v>
      </c>
      <c r="J209" s="32"/>
      <c r="K209" s="37"/>
      <c r="L209" s="37"/>
      <c r="M209" s="81"/>
      <c r="N209" s="81"/>
      <c r="O209" s="249"/>
      <c r="Q209" s="34"/>
      <c r="R209" s="35"/>
      <c r="S209" s="35"/>
      <c r="T209" s="35"/>
      <c r="U209" s="35"/>
      <c r="V209" s="35"/>
      <c r="W209" s="35"/>
      <c r="X209" s="35"/>
      <c r="Y209" s="35"/>
      <c r="Z209" s="35"/>
      <c r="AA209" s="35"/>
      <c r="AB209" s="35"/>
      <c r="AC209" s="35"/>
      <c r="AD209" s="35"/>
      <c r="AE209" s="35"/>
      <c r="AF209" s="35"/>
      <c r="AG209" s="35"/>
      <c r="AH209" s="35"/>
      <c r="AI209" s="35"/>
      <c r="AJ209" s="35"/>
      <c r="AK209" s="36"/>
      <c r="AL209" s="36"/>
      <c r="AM209" s="36"/>
      <c r="AN209" s="36"/>
      <c r="AO209" s="36"/>
      <c r="AP209" s="36"/>
      <c r="AQ209" s="36"/>
      <c r="AR209" s="36"/>
      <c r="AS209" s="36"/>
      <c r="AT209" s="36"/>
      <c r="AU209" s="36"/>
      <c r="AV209" s="36"/>
      <c r="AW209" s="36"/>
      <c r="AX209" s="36"/>
      <c r="AY209" s="36"/>
      <c r="AZ209" s="36"/>
      <c r="BA209" s="36"/>
      <c r="BB209" s="36"/>
    </row>
    <row r="210" spans="2:59" s="30" customFormat="1" ht="15.75" x14ac:dyDescent="0.2">
      <c r="B210" s="8"/>
      <c r="C210" s="33"/>
      <c r="D210" s="81"/>
      <c r="G210" s="33"/>
      <c r="H210" s="81"/>
      <c r="J210" s="32"/>
      <c r="K210" s="37" t="s">
        <v>692</v>
      </c>
      <c r="L210" s="37" t="s">
        <v>185</v>
      </c>
      <c r="M210" s="81"/>
      <c r="N210" s="81"/>
      <c r="O210" s="249" t="s">
        <v>584</v>
      </c>
      <c r="Q210" s="129"/>
      <c r="R210" s="43" t="s">
        <v>318</v>
      </c>
      <c r="S210" s="35"/>
      <c r="T210" s="43"/>
      <c r="U210" s="35"/>
      <c r="V210" s="43"/>
      <c r="W210" s="35"/>
      <c r="X210" s="35"/>
      <c r="Y210" s="35"/>
      <c r="Z210" s="35"/>
      <c r="AA210" s="35"/>
      <c r="AB210" s="35"/>
      <c r="AC210" s="35"/>
      <c r="AD210" s="35"/>
      <c r="AE210" s="35"/>
      <c r="AF210" s="35"/>
      <c r="AG210" s="35"/>
      <c r="AH210" s="35"/>
      <c r="AI210" s="35"/>
      <c r="AJ210" s="35"/>
      <c r="AK210" s="35"/>
      <c r="AL210" s="35"/>
      <c r="AM210" s="35"/>
      <c r="AN210" s="35"/>
      <c r="AO210" s="35"/>
      <c r="AP210" s="36"/>
      <c r="AQ210" s="36"/>
      <c r="AR210" s="36"/>
      <c r="AS210" s="36"/>
      <c r="AT210" s="36"/>
      <c r="AU210" s="36"/>
      <c r="AV210" s="36"/>
      <c r="AW210" s="36"/>
      <c r="AX210" s="36"/>
      <c r="AY210" s="36"/>
      <c r="AZ210" s="36"/>
      <c r="BA210" s="36"/>
      <c r="BB210" s="36"/>
      <c r="BC210" s="36"/>
      <c r="BD210" s="36"/>
      <c r="BE210" s="36"/>
      <c r="BF210" s="36"/>
      <c r="BG210" s="36"/>
    </row>
    <row r="211" spans="2:59" s="30" customFormat="1" ht="15" x14ac:dyDescent="0.2">
      <c r="B211" s="76" t="s">
        <v>549</v>
      </c>
      <c r="C211" s="471" t="s">
        <v>265</v>
      </c>
      <c r="D211" s="473"/>
      <c r="E211" s="33"/>
      <c r="G211" s="33"/>
      <c r="H211" s="81"/>
      <c r="J211" s="32" t="s">
        <v>696</v>
      </c>
      <c r="K211" s="92" t="str">
        <f>IF(ISNUMBER(L211),L211,IF(C211=Pudotusvalikot!$Z$3,"--",IF(C211=Pudotusvalikot!$Z$4,Muut!$F$11/1000+Muut!$F$13/1000,IF(C211=Pudotusvalikot!$Z$5,Muut!$F$25+Muut!$F$26,IF(C211=Pudotusvalikot!$Z$6,Muut!$F$16+Muut!$F$19,Muut!$F$15+Muut!$F$18)))))</f>
        <v>--</v>
      </c>
      <c r="L211" s="71"/>
      <c r="M211" s="83" t="str">
        <f>IF(ISNUMBER(L211),"gCO2/e-yksikkö",IF(C211=Pudotusvalikot!$R$3,"--",IF(C211=Pudotusvalikot!$R$4,"gCO2/kWh",IF(C211=Pudotusvalikot!$R$5,"kgCO2/h",IF(C211=Pudotusvalikot!$R$6,"gCO2/kWh",IF(C211=Pudotusvalikot!$R$7,"kgCO2/l","kgCO2/kWh"))))))</f>
        <v>kgCO2/kWh</v>
      </c>
      <c r="N211" s="83"/>
      <c r="O211" s="250"/>
      <c r="Q211" s="129"/>
      <c r="R211" s="105" t="str">
        <f>IF(ISNUMBER(R215),R215,IF(ISNUMBER(R217),R217,""))</f>
        <v/>
      </c>
      <c r="S211" s="98" t="s">
        <v>160</v>
      </c>
      <c r="T211" s="43"/>
      <c r="U211" s="35"/>
      <c r="V211" s="43"/>
      <c r="W211" s="35"/>
      <c r="X211" s="35"/>
      <c r="Y211" s="35"/>
      <c r="Z211" s="35"/>
      <c r="AA211" s="35"/>
      <c r="AB211" s="35"/>
      <c r="AC211" s="35"/>
      <c r="AD211" s="35"/>
      <c r="AE211" s="35"/>
      <c r="AF211" s="35"/>
      <c r="AG211" s="35"/>
      <c r="AH211" s="35"/>
      <c r="AI211" s="35"/>
      <c r="AJ211" s="35"/>
      <c r="AK211" s="35"/>
      <c r="AL211" s="35"/>
      <c r="AM211" s="35"/>
      <c r="AN211" s="35"/>
      <c r="AO211" s="35"/>
      <c r="AP211" s="36"/>
      <c r="AQ211" s="36"/>
      <c r="AR211" s="36"/>
      <c r="AS211" s="36"/>
      <c r="AT211" s="36"/>
      <c r="AU211" s="36"/>
      <c r="AV211" s="36"/>
      <c r="AW211" s="36"/>
      <c r="AX211" s="36"/>
      <c r="AY211" s="36"/>
      <c r="AZ211" s="36"/>
      <c r="BA211" s="36"/>
      <c r="BB211" s="36"/>
      <c r="BC211" s="36"/>
      <c r="BD211" s="36"/>
      <c r="BE211" s="36"/>
      <c r="BF211" s="36"/>
      <c r="BG211" s="36"/>
    </row>
    <row r="212" spans="2:59" s="30" customFormat="1" ht="15" x14ac:dyDescent="0.2">
      <c r="B212" s="166" t="s">
        <v>486</v>
      </c>
      <c r="C212" s="156"/>
      <c r="D212" s="81" t="s">
        <v>8</v>
      </c>
      <c r="E212" s="33"/>
      <c r="G212" s="33"/>
      <c r="H212" s="81"/>
      <c r="J212" s="32" t="s">
        <v>486</v>
      </c>
      <c r="K212" s="382">
        <f>IF(ISNUMBER(L212),L212,IF(OR(C211="Bensiini",C211="Diesel"),Muut!$F$35,Muut!$F$36))</f>
        <v>0.4</v>
      </c>
      <c r="L212" s="382" t="str">
        <f>IF(ISNUMBER(C212),C212/100,"--")</f>
        <v>--</v>
      </c>
      <c r="M212" s="83"/>
      <c r="N212" s="83"/>
      <c r="O212" s="260"/>
      <c r="Q212" s="34"/>
      <c r="R212" s="59"/>
      <c r="S212" s="98"/>
      <c r="T212" s="43"/>
      <c r="U212" s="35"/>
      <c r="V212" s="35"/>
      <c r="W212" s="35"/>
      <c r="X212" s="35"/>
      <c r="Y212" s="35"/>
      <c r="Z212" s="35"/>
      <c r="AA212" s="35"/>
      <c r="AB212" s="35"/>
      <c r="AC212" s="35"/>
      <c r="AD212" s="35"/>
      <c r="AE212" s="35"/>
      <c r="AF212" s="35"/>
      <c r="AG212" s="35"/>
      <c r="AH212" s="35"/>
      <c r="AI212" s="35"/>
      <c r="AJ212" s="35"/>
      <c r="AK212" s="35"/>
      <c r="AL212" s="35"/>
      <c r="AM212" s="35"/>
      <c r="AN212" s="36"/>
      <c r="AO212" s="36"/>
      <c r="AP212" s="36"/>
      <c r="AQ212" s="36"/>
      <c r="AR212" s="36"/>
      <c r="AS212" s="36"/>
      <c r="AT212" s="36"/>
      <c r="AU212" s="36"/>
      <c r="AV212" s="36"/>
      <c r="AW212" s="36"/>
      <c r="AX212" s="36"/>
      <c r="AY212" s="36"/>
      <c r="AZ212" s="36"/>
      <c r="BA212" s="36"/>
      <c r="BB212" s="36"/>
      <c r="BC212" s="36"/>
      <c r="BD212" s="36"/>
      <c r="BE212" s="36"/>
    </row>
    <row r="213" spans="2:59" s="30" customFormat="1" ht="15" x14ac:dyDescent="0.2">
      <c r="B213" s="52" t="s">
        <v>283</v>
      </c>
      <c r="C213" s="156"/>
      <c r="D213" s="90" t="s">
        <v>267</v>
      </c>
      <c r="E213" s="77"/>
      <c r="G213" s="77"/>
      <c r="H213" s="81"/>
      <c r="M213" s="81"/>
      <c r="N213" s="81"/>
      <c r="O213" s="96"/>
      <c r="Q213" s="129"/>
      <c r="R213" s="9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6"/>
      <c r="AQ213" s="36"/>
      <c r="AR213" s="36"/>
      <c r="AS213" s="36"/>
      <c r="AT213" s="36"/>
      <c r="AU213" s="36"/>
      <c r="AV213" s="36"/>
      <c r="AW213" s="36"/>
      <c r="AX213" s="36"/>
      <c r="AY213" s="36"/>
      <c r="AZ213" s="36"/>
      <c r="BA213" s="36"/>
      <c r="BB213" s="36"/>
      <c r="BC213" s="36"/>
      <c r="BD213" s="36"/>
      <c r="BE213" s="36"/>
      <c r="BF213" s="36"/>
      <c r="BG213" s="36"/>
    </row>
    <row r="214" spans="2:59" s="30" customFormat="1" ht="15" x14ac:dyDescent="0.2">
      <c r="B214" s="52" t="s">
        <v>548</v>
      </c>
      <c r="C214" s="33"/>
      <c r="D214" s="81"/>
      <c r="G214" s="33"/>
      <c r="H214" s="81"/>
      <c r="J214" s="32"/>
      <c r="K214" s="37"/>
      <c r="L214" s="37"/>
      <c r="M214" s="81"/>
      <c r="N214" s="81"/>
      <c r="O214" s="96"/>
      <c r="Q214" s="129"/>
      <c r="R214" s="43" t="s">
        <v>318</v>
      </c>
      <c r="S214" s="35"/>
      <c r="T214" s="35" t="s">
        <v>171</v>
      </c>
      <c r="U214" s="35"/>
      <c r="V214" s="35"/>
      <c r="W214" s="35"/>
      <c r="X214" s="35"/>
      <c r="Y214" s="35"/>
      <c r="Z214" s="35"/>
      <c r="AA214" s="35"/>
      <c r="AB214" s="35"/>
      <c r="AC214" s="35"/>
      <c r="AD214" s="35"/>
      <c r="AE214" s="35"/>
      <c r="AF214" s="35"/>
      <c r="AG214" s="35"/>
      <c r="AH214" s="35"/>
      <c r="AI214" s="35"/>
      <c r="AJ214" s="35"/>
      <c r="AK214" s="35"/>
      <c r="AL214" s="35"/>
      <c r="AM214" s="35"/>
      <c r="AN214" s="35"/>
      <c r="AO214" s="35"/>
      <c r="AP214" s="36"/>
      <c r="AQ214" s="36"/>
      <c r="AR214" s="36"/>
      <c r="AS214" s="36"/>
      <c r="AT214" s="36"/>
      <c r="AU214" s="36"/>
      <c r="AV214" s="36"/>
      <c r="AW214" s="36"/>
      <c r="AX214" s="36"/>
      <c r="AY214" s="36"/>
      <c r="AZ214" s="36"/>
      <c r="BA214" s="36"/>
      <c r="BB214" s="36"/>
      <c r="BC214" s="36"/>
      <c r="BD214" s="36"/>
      <c r="BE214" s="36"/>
      <c r="BF214" s="36"/>
      <c r="BG214" s="36"/>
    </row>
    <row r="215" spans="2:59" s="30" customFormat="1" ht="30" x14ac:dyDescent="0.2">
      <c r="B215" s="166" t="s">
        <v>553</v>
      </c>
      <c r="C215" s="152"/>
      <c r="D215" s="81" t="s">
        <v>264</v>
      </c>
      <c r="E215" s="33"/>
      <c r="G215" s="33"/>
      <c r="H215" s="81"/>
      <c r="M215" s="81"/>
      <c r="N215" s="81"/>
      <c r="O215" s="96"/>
      <c r="Q215" s="129"/>
      <c r="R215" s="191" t="str">
        <f>IF(ISNUMBER(C215),IF(AND(ISNUMBER(C213),C211="Aggregaatti"),C213*IF(D213="vuosi",365*24,IF(D213="kuukausi",30*24,IF(D213="päivä",24,1)))*T215,IF(C211="Aggregaatti",C215*(Muut!$F$15+Muut!$F$19),C215*T215)),"")</f>
        <v/>
      </c>
      <c r="S215" s="98" t="s">
        <v>160</v>
      </c>
      <c r="T215" s="191" t="str">
        <f>IF(ISNUMBER(C215),IF(C211="Ostosähkö", (K211),IF(C211="Aurinkopaneelit",(K211),K211)),"")</f>
        <v/>
      </c>
      <c r="U215" s="35"/>
      <c r="V215" s="35"/>
      <c r="W215" s="35"/>
      <c r="X215" s="35"/>
      <c r="Y215" s="35"/>
      <c r="Z215" s="35"/>
      <c r="AA215" s="35"/>
      <c r="AB215" s="35"/>
      <c r="AC215" s="35"/>
      <c r="AD215" s="35"/>
      <c r="AE215" s="35"/>
      <c r="AF215" s="35"/>
      <c r="AG215" s="35"/>
      <c r="AH215" s="35"/>
      <c r="AI215" s="35"/>
      <c r="AJ215" s="35"/>
      <c r="AK215" s="35"/>
      <c r="AL215" s="35"/>
      <c r="AM215" s="35"/>
      <c r="AN215" s="35"/>
      <c r="AO215" s="35"/>
      <c r="AP215" s="36"/>
      <c r="AQ215" s="36"/>
      <c r="AR215" s="36"/>
      <c r="AS215" s="36"/>
      <c r="AT215" s="36"/>
      <c r="AU215" s="36"/>
      <c r="AV215" s="36"/>
      <c r="AW215" s="36"/>
      <c r="AX215" s="36"/>
      <c r="AY215" s="36"/>
      <c r="AZ215" s="36"/>
      <c r="BA215" s="36"/>
      <c r="BB215" s="36"/>
      <c r="BC215" s="36"/>
      <c r="BD215" s="36"/>
      <c r="BE215" s="36"/>
      <c r="BF215" s="36"/>
      <c r="BG215" s="36"/>
    </row>
    <row r="216" spans="2:59" s="30" customFormat="1" ht="15" x14ac:dyDescent="0.2">
      <c r="B216" s="52" t="s">
        <v>708</v>
      </c>
      <c r="C216" s="33"/>
      <c r="D216" s="81"/>
      <c r="G216" s="77"/>
      <c r="H216" s="81"/>
      <c r="M216" s="81"/>
      <c r="N216" s="81"/>
      <c r="O216" s="96"/>
      <c r="Q216" s="129"/>
      <c r="R216" s="43" t="s">
        <v>318</v>
      </c>
      <c r="S216" s="35"/>
      <c r="T216" s="35" t="s">
        <v>705</v>
      </c>
      <c r="U216" s="35"/>
      <c r="V216" s="35"/>
      <c r="W216" s="35"/>
      <c r="X216" s="35"/>
      <c r="Y216" s="35"/>
      <c r="Z216" s="35"/>
      <c r="AA216" s="35"/>
      <c r="AB216" s="35"/>
      <c r="AC216" s="35"/>
      <c r="AD216" s="35"/>
      <c r="AE216" s="35"/>
      <c r="AF216" s="35"/>
      <c r="AG216" s="35"/>
      <c r="AH216" s="35"/>
      <c r="AI216" s="35"/>
      <c r="AJ216" s="35"/>
      <c r="AK216" s="35"/>
      <c r="AL216" s="35"/>
      <c r="AM216" s="35"/>
      <c r="AN216" s="35"/>
      <c r="AO216" s="35"/>
      <c r="AP216" s="36"/>
      <c r="AQ216" s="36"/>
      <c r="AR216" s="36"/>
      <c r="AS216" s="36"/>
      <c r="AT216" s="36"/>
      <c r="AU216" s="36"/>
      <c r="AV216" s="36"/>
      <c r="AW216" s="36"/>
      <c r="AX216" s="36"/>
      <c r="AY216" s="36"/>
      <c r="AZ216" s="36"/>
      <c r="BA216" s="36"/>
      <c r="BB216" s="36"/>
      <c r="BC216" s="36"/>
      <c r="BD216" s="36"/>
      <c r="BE216" s="36"/>
      <c r="BF216" s="36"/>
      <c r="BG216" s="36"/>
    </row>
    <row r="217" spans="2:59" s="30" customFormat="1" ht="15" x14ac:dyDescent="0.2">
      <c r="B217" s="44" t="s">
        <v>551</v>
      </c>
      <c r="C217" s="441"/>
      <c r="D217" s="81" t="s">
        <v>195</v>
      </c>
      <c r="G217" s="77"/>
      <c r="H217" s="81"/>
      <c r="M217" s="81"/>
      <c r="N217" s="81"/>
      <c r="O217" s="96"/>
      <c r="Q217" s="129"/>
      <c r="R217" s="191" t="str">
        <f>IF(ISNUMBER(C217),IF(AND(ISNUMBER(C213),C211="Aggregaatti"),IF(D213="vuosi",365*24,IF(D213="kuukausi",30*24,IF(D213="päivä",24,1)))*C213*T217,IF(AND(ISNUMBER(C213),OR(C211="Ostosähkö",C211="Aurinkopaneelit")),IF(D213="vuosi",365*24,IF(D213="kuukausi",30*24,IF(D213="päivä",24,1)))*C213*T217,IF(ISNUMBER(C213),IF(D213="vuosi",365*24,IF(D213="kuukausi",30*24,IF(D213="päivä",24,1)))*C213*C217/1000/((Muut!$M$15*Muut!$O$15+Muut!$M$16*Muut!$O$16)/2)*(Muut!$F$16+Muut!$F$19+Muut!$F$18+Muut!$F$15)/2,""))),"")</f>
        <v/>
      </c>
      <c r="S217" s="98" t="s">
        <v>160</v>
      </c>
      <c r="T217" s="191" t="str">
        <f>IF(ISNUMBER(C217),IF(C211="Ostosähkö",K211/K212,IF(C211="Aurinkopaneelit",K211/K212,IF(C211="Aggregaatti",K211,K211/K212))),IF(AND(C211="Aggregaatti",ISNUMBER(C213)),K211,""))</f>
        <v/>
      </c>
      <c r="U217" s="35"/>
      <c r="V217" s="35"/>
      <c r="W217" s="35"/>
      <c r="X217" s="35"/>
      <c r="Y217" s="35"/>
      <c r="Z217" s="35"/>
      <c r="AA217" s="35"/>
      <c r="AB217" s="35"/>
      <c r="AC217" s="35"/>
      <c r="AD217" s="35"/>
      <c r="AE217" s="35"/>
      <c r="AF217" s="35"/>
      <c r="AG217" s="35"/>
      <c r="AH217" s="35"/>
      <c r="AI217" s="35"/>
      <c r="AJ217" s="35"/>
      <c r="AK217" s="35"/>
      <c r="AL217" s="35"/>
      <c r="AM217" s="35"/>
      <c r="AN217" s="35"/>
      <c r="AO217" s="35"/>
      <c r="AP217" s="36"/>
      <c r="AQ217" s="36"/>
      <c r="AR217" s="36"/>
      <c r="AS217" s="36"/>
      <c r="AT217" s="36"/>
      <c r="AU217" s="36"/>
      <c r="AV217" s="36"/>
      <c r="AW217" s="36"/>
      <c r="AX217" s="36"/>
      <c r="AY217" s="36"/>
      <c r="AZ217" s="36"/>
      <c r="BA217" s="36"/>
      <c r="BB217" s="36"/>
      <c r="BC217" s="36"/>
      <c r="BD217" s="36"/>
      <c r="BE217" s="36"/>
      <c r="BF217" s="36"/>
      <c r="BG217" s="36"/>
    </row>
    <row r="218" spans="2:59" s="30" customFormat="1" ht="15" x14ac:dyDescent="0.2">
      <c r="D218" s="81"/>
      <c r="H218" s="81"/>
      <c r="M218" s="81"/>
      <c r="N218" s="81"/>
      <c r="O218" s="81"/>
      <c r="Q218" s="129"/>
      <c r="R218" s="94"/>
      <c r="S218" s="104"/>
      <c r="T218" s="36"/>
      <c r="U218" s="35"/>
      <c r="V218" s="35"/>
      <c r="W218" s="35"/>
      <c r="X218" s="35"/>
      <c r="Y218" s="35"/>
      <c r="Z218" s="35"/>
      <c r="AA218" s="35"/>
      <c r="AB218" s="35"/>
      <c r="AC218" s="35"/>
      <c r="AD218" s="35"/>
      <c r="AE218" s="35"/>
      <c r="AF218" s="35"/>
      <c r="AG218" s="35"/>
      <c r="AH218" s="35"/>
      <c r="AI218" s="35"/>
      <c r="AJ218" s="35"/>
      <c r="AK218" s="35"/>
      <c r="AL218" s="35"/>
      <c r="AM218" s="35"/>
      <c r="AN218" s="35"/>
      <c r="AO218" s="35"/>
      <c r="AP218" s="36"/>
      <c r="AQ218" s="36"/>
      <c r="AR218" s="36"/>
      <c r="AS218" s="36"/>
      <c r="AT218" s="36"/>
      <c r="AU218" s="36"/>
      <c r="AV218" s="36"/>
      <c r="AW218" s="36"/>
      <c r="AX218" s="36"/>
      <c r="AY218" s="36"/>
      <c r="AZ218" s="36"/>
      <c r="BA218" s="36"/>
      <c r="BB218" s="36"/>
      <c r="BC218" s="36"/>
      <c r="BD218" s="36"/>
      <c r="BE218" s="36"/>
      <c r="BF218" s="36"/>
      <c r="BG218" s="36"/>
    </row>
    <row r="219" spans="2:59" s="289" customFormat="1" ht="18" x14ac:dyDescent="0.2">
      <c r="B219" s="286" t="s">
        <v>293</v>
      </c>
      <c r="C219" s="287"/>
      <c r="D219" s="288"/>
      <c r="G219" s="287"/>
      <c r="H219" s="288"/>
      <c r="K219" s="287"/>
      <c r="L219" s="287"/>
      <c r="M219" s="288"/>
      <c r="N219" s="288"/>
      <c r="O219" s="291"/>
      <c r="P219" s="311"/>
      <c r="Q219" s="295"/>
      <c r="S219" s="294"/>
      <c r="T219" s="294"/>
      <c r="U219" s="294"/>
      <c r="V219" s="294"/>
      <c r="W219" s="294"/>
      <c r="X219" s="294"/>
      <c r="Y219" s="294"/>
      <c r="Z219" s="294"/>
      <c r="AA219" s="294"/>
      <c r="AB219" s="294"/>
      <c r="AC219" s="294"/>
      <c r="AD219" s="294"/>
      <c r="AE219" s="294"/>
      <c r="AF219" s="294"/>
      <c r="AG219" s="294"/>
      <c r="AH219" s="294"/>
      <c r="AI219" s="294"/>
      <c r="AJ219" s="294"/>
      <c r="AK219" s="294"/>
      <c r="AL219" s="294"/>
      <c r="AM219" s="294"/>
      <c r="AN219" s="295"/>
      <c r="AO219" s="295"/>
      <c r="AP219" s="295"/>
      <c r="AQ219" s="295"/>
      <c r="AR219" s="295"/>
      <c r="AS219" s="295"/>
      <c r="AT219" s="295"/>
      <c r="AU219" s="295"/>
      <c r="AV219" s="295"/>
      <c r="AW219" s="295"/>
      <c r="AX219" s="295"/>
      <c r="AY219" s="295"/>
      <c r="AZ219" s="295"/>
      <c r="BA219" s="295"/>
      <c r="BB219" s="295"/>
      <c r="BC219" s="295"/>
      <c r="BD219" s="295"/>
      <c r="BE219" s="295"/>
    </row>
    <row r="220" spans="2:59" s="30" customFormat="1" ht="15.75" x14ac:dyDescent="0.2">
      <c r="B220" s="8"/>
      <c r="C220" s="33"/>
      <c r="D220" s="81"/>
      <c r="G220" s="33"/>
      <c r="H220" s="81"/>
      <c r="J220" s="32"/>
      <c r="M220" s="83"/>
      <c r="N220" s="83"/>
      <c r="Q220" s="129"/>
      <c r="R220" s="35"/>
      <c r="S220" s="35"/>
      <c r="T220" s="36"/>
      <c r="U220" s="35"/>
      <c r="V220" s="43"/>
      <c r="W220" s="35"/>
      <c r="X220" s="35"/>
      <c r="Y220" s="35"/>
      <c r="Z220" s="35"/>
      <c r="AA220" s="35"/>
      <c r="AB220" s="35"/>
      <c r="AC220" s="35"/>
      <c r="AD220" s="35"/>
      <c r="AE220" s="35"/>
      <c r="AF220" s="35"/>
      <c r="AG220" s="35"/>
      <c r="AH220" s="35"/>
      <c r="AI220" s="35"/>
      <c r="AJ220" s="35"/>
      <c r="AK220" s="35"/>
      <c r="AL220" s="35"/>
      <c r="AM220" s="35"/>
      <c r="AN220" s="35"/>
      <c r="AO220" s="35"/>
      <c r="AP220" s="36"/>
      <c r="AQ220" s="36"/>
      <c r="AR220" s="36"/>
      <c r="AS220" s="36"/>
      <c r="AT220" s="36"/>
      <c r="AU220" s="36"/>
      <c r="AV220" s="36"/>
      <c r="AW220" s="36"/>
      <c r="AX220" s="36"/>
      <c r="AY220" s="36"/>
      <c r="AZ220" s="36"/>
      <c r="BA220" s="36"/>
      <c r="BB220" s="36"/>
      <c r="BC220" s="36"/>
      <c r="BD220" s="36"/>
      <c r="BE220" s="36"/>
      <c r="BF220" s="36"/>
      <c r="BG220" s="36"/>
    </row>
    <row r="221" spans="2:59" s="30" customFormat="1" ht="15" customHeight="1" x14ac:dyDescent="0.2">
      <c r="B221" s="30" t="s">
        <v>753</v>
      </c>
      <c r="J221" s="32"/>
      <c r="K221" s="37"/>
      <c r="L221" s="37"/>
      <c r="M221" s="81"/>
      <c r="N221" s="81"/>
      <c r="O221" s="249"/>
      <c r="Q221" s="34"/>
      <c r="R221" s="35"/>
      <c r="S221" s="35"/>
      <c r="T221" s="35"/>
      <c r="U221" s="35"/>
      <c r="V221" s="35"/>
      <c r="W221" s="35"/>
      <c r="X221" s="35"/>
      <c r="Y221" s="35"/>
      <c r="Z221" s="35"/>
      <c r="AA221" s="35"/>
      <c r="AB221" s="35"/>
      <c r="AC221" s="35"/>
      <c r="AD221" s="35"/>
      <c r="AE221" s="35"/>
      <c r="AF221" s="35"/>
      <c r="AG221" s="35"/>
      <c r="AH221" s="35"/>
      <c r="AI221" s="35"/>
      <c r="AJ221" s="35"/>
      <c r="AK221" s="36"/>
      <c r="AL221" s="36"/>
      <c r="AM221" s="36"/>
      <c r="AN221" s="36"/>
      <c r="AO221" s="36"/>
      <c r="AP221" s="36"/>
      <c r="AQ221" s="36"/>
      <c r="AR221" s="36"/>
      <c r="AS221" s="36"/>
      <c r="AT221" s="36"/>
      <c r="AU221" s="36"/>
      <c r="AV221" s="36"/>
      <c r="AW221" s="36"/>
      <c r="AX221" s="36"/>
      <c r="AY221" s="36"/>
      <c r="AZ221" s="36"/>
      <c r="BA221" s="36"/>
      <c r="BB221" s="36"/>
    </row>
    <row r="222" spans="2:59" s="30" customFormat="1" ht="15.75" x14ac:dyDescent="0.2">
      <c r="B222" s="8"/>
      <c r="C222" s="33"/>
      <c r="D222" s="81"/>
      <c r="G222" s="33"/>
      <c r="H222" s="81"/>
      <c r="J222" s="32"/>
      <c r="K222" s="37" t="s">
        <v>692</v>
      </c>
      <c r="L222" s="37" t="s">
        <v>185</v>
      </c>
      <c r="M222" s="81"/>
      <c r="N222" s="81"/>
      <c r="O222" s="249" t="s">
        <v>584</v>
      </c>
      <c r="Q222" s="129"/>
      <c r="R222" s="43" t="s">
        <v>318</v>
      </c>
      <c r="S222" s="35"/>
      <c r="T222" s="43"/>
      <c r="U222" s="35"/>
      <c r="V222" s="43"/>
      <c r="W222" s="35"/>
      <c r="X222" s="35"/>
      <c r="Y222" s="35"/>
      <c r="Z222" s="35"/>
      <c r="AA222" s="35"/>
      <c r="AB222" s="35"/>
      <c r="AC222" s="35"/>
      <c r="AD222" s="35"/>
      <c r="AE222" s="35"/>
      <c r="AF222" s="35"/>
      <c r="AG222" s="35"/>
      <c r="AH222" s="35"/>
      <c r="AI222" s="35"/>
      <c r="AJ222" s="35"/>
      <c r="AK222" s="35"/>
      <c r="AL222" s="35"/>
      <c r="AM222" s="35"/>
      <c r="AN222" s="35"/>
      <c r="AO222" s="35"/>
      <c r="AP222" s="36"/>
      <c r="AQ222" s="36"/>
      <c r="AR222" s="36"/>
      <c r="AS222" s="36"/>
      <c r="AT222" s="36"/>
      <c r="AU222" s="36"/>
      <c r="AV222" s="36"/>
      <c r="AW222" s="36"/>
      <c r="AX222" s="36"/>
      <c r="AY222" s="36"/>
      <c r="AZ222" s="36"/>
      <c r="BA222" s="36"/>
      <c r="BB222" s="36"/>
      <c r="BC222" s="36"/>
      <c r="BD222" s="36"/>
      <c r="BE222" s="36"/>
      <c r="BF222" s="36"/>
      <c r="BG222" s="36"/>
    </row>
    <row r="223" spans="2:59" s="30" customFormat="1" ht="15" x14ac:dyDescent="0.2">
      <c r="B223" s="76" t="s">
        <v>549</v>
      </c>
      <c r="C223" s="471" t="s">
        <v>265</v>
      </c>
      <c r="D223" s="473"/>
      <c r="E223" s="33"/>
      <c r="G223" s="33"/>
      <c r="H223" s="81"/>
      <c r="J223" s="32" t="s">
        <v>696</v>
      </c>
      <c r="K223" s="92" t="str">
        <f>IF(ISNUMBER(L223),L223,IF(C223=Pudotusvalikot!$Z$3,"--",IF(C223=Pudotusvalikot!$Z$4,Muut!$F$11/1000+Muut!$F$13/1000,IF(C223=Pudotusvalikot!$Z$5,Muut!$F$25+Muut!$F$26,IF(C223=Pudotusvalikot!$Z$6,Muut!$F$16+Muut!$F$19,Muut!$F$15+Muut!$F$18)))))</f>
        <v>--</v>
      </c>
      <c r="L223" s="71"/>
      <c r="M223" s="83" t="str">
        <f>IF(ISNUMBER(L223),"gCO2/e-yksikkö",IF(C223=Pudotusvalikot!$R$3,"--",IF(C223=Pudotusvalikot!$R$4,"gCO2/kWh",IF(C223=Pudotusvalikot!$R$5,"kgCO2/h",IF(C223=Pudotusvalikot!$R$6,"gCO2/kWh",IF(C223=Pudotusvalikot!$R$7,"kgCO2/l","kgCO2/kWh"))))))</f>
        <v>kgCO2/kWh</v>
      </c>
      <c r="N223" s="83"/>
      <c r="O223" s="250"/>
      <c r="Q223" s="129"/>
      <c r="R223" s="105" t="str">
        <f>IF(ISNUMBER(R227),R227,IF(ISNUMBER(R229),R229,""))</f>
        <v/>
      </c>
      <c r="S223" s="98" t="s">
        <v>160</v>
      </c>
      <c r="T223" s="43"/>
      <c r="U223" s="35"/>
      <c r="V223" s="43"/>
      <c r="W223" s="35"/>
      <c r="X223" s="35"/>
      <c r="Y223" s="35"/>
      <c r="Z223" s="35"/>
      <c r="AA223" s="35"/>
      <c r="AB223" s="35"/>
      <c r="AC223" s="35"/>
      <c r="AD223" s="35"/>
      <c r="AE223" s="35"/>
      <c r="AF223" s="35"/>
      <c r="AG223" s="35"/>
      <c r="AH223" s="35"/>
      <c r="AI223" s="35"/>
      <c r="AJ223" s="35"/>
      <c r="AK223" s="35"/>
      <c r="AL223" s="35"/>
      <c r="AM223" s="35"/>
      <c r="AN223" s="35"/>
      <c r="AO223" s="35"/>
      <c r="AP223" s="36"/>
      <c r="AQ223" s="36"/>
      <c r="AR223" s="36"/>
      <c r="AS223" s="36"/>
      <c r="AT223" s="36"/>
      <c r="AU223" s="36"/>
      <c r="AV223" s="36"/>
      <c r="AW223" s="36"/>
      <c r="AX223" s="36"/>
      <c r="AY223" s="36"/>
      <c r="AZ223" s="36"/>
      <c r="BA223" s="36"/>
      <c r="BB223" s="36"/>
      <c r="BC223" s="36"/>
      <c r="BD223" s="36"/>
      <c r="BE223" s="36"/>
      <c r="BF223" s="36"/>
      <c r="BG223" s="36"/>
    </row>
    <row r="224" spans="2:59" s="30" customFormat="1" ht="15" x14ac:dyDescent="0.2">
      <c r="B224" s="166" t="s">
        <v>486</v>
      </c>
      <c r="C224" s="156"/>
      <c r="D224" s="81" t="s">
        <v>8</v>
      </c>
      <c r="E224" s="33"/>
      <c r="G224" s="33"/>
      <c r="H224" s="81"/>
      <c r="J224" s="32" t="s">
        <v>486</v>
      </c>
      <c r="K224" s="382">
        <f>IF(ISNUMBER(L224),L224,IF(OR(C223="Bensiini",C223="Diesel"),Muut!$F$35,Muut!$F$36))</f>
        <v>0.4</v>
      </c>
      <c r="L224" s="382" t="str">
        <f>IF(ISNUMBER(C224),C224/100,"--")</f>
        <v>--</v>
      </c>
      <c r="M224" s="83"/>
      <c r="N224" s="83"/>
      <c r="O224" s="260"/>
      <c r="Q224" s="34"/>
      <c r="R224" s="59"/>
      <c r="S224" s="98"/>
      <c r="T224" s="43"/>
      <c r="U224" s="35"/>
      <c r="V224" s="35"/>
      <c r="W224" s="35"/>
      <c r="X224" s="35"/>
      <c r="Y224" s="35"/>
      <c r="Z224" s="35"/>
      <c r="AA224" s="35"/>
      <c r="AB224" s="35"/>
      <c r="AC224" s="35"/>
      <c r="AD224" s="35"/>
      <c r="AE224" s="35"/>
      <c r="AF224" s="35"/>
      <c r="AG224" s="35"/>
      <c r="AH224" s="35"/>
      <c r="AI224" s="35"/>
      <c r="AJ224" s="35"/>
      <c r="AK224" s="35"/>
      <c r="AL224" s="35"/>
      <c r="AM224" s="35"/>
      <c r="AN224" s="36"/>
      <c r="AO224" s="36"/>
      <c r="AP224" s="36"/>
      <c r="AQ224" s="36"/>
      <c r="AR224" s="36"/>
      <c r="AS224" s="36"/>
      <c r="AT224" s="36"/>
      <c r="AU224" s="36"/>
      <c r="AV224" s="36"/>
      <c r="AW224" s="36"/>
      <c r="AX224" s="36"/>
      <c r="AY224" s="36"/>
      <c r="AZ224" s="36"/>
      <c r="BA224" s="36"/>
      <c r="BB224" s="36"/>
      <c r="BC224" s="36"/>
      <c r="BD224" s="36"/>
      <c r="BE224" s="36"/>
    </row>
    <row r="225" spans="2:59" s="30" customFormat="1" ht="15" x14ac:dyDescent="0.2">
      <c r="B225" s="52" t="s">
        <v>283</v>
      </c>
      <c r="C225" s="156"/>
      <c r="D225" s="90" t="s">
        <v>270</v>
      </c>
      <c r="E225" s="77"/>
      <c r="G225" s="77"/>
      <c r="H225" s="81"/>
      <c r="M225" s="81"/>
      <c r="N225" s="81"/>
      <c r="O225" s="96"/>
      <c r="Q225" s="129"/>
      <c r="R225" s="9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6"/>
      <c r="AQ225" s="36"/>
      <c r="AR225" s="36"/>
      <c r="AS225" s="36"/>
      <c r="AT225" s="36"/>
      <c r="AU225" s="36"/>
      <c r="AV225" s="36"/>
      <c r="AW225" s="36"/>
      <c r="AX225" s="36"/>
      <c r="AY225" s="36"/>
      <c r="AZ225" s="36"/>
      <c r="BA225" s="36"/>
      <c r="BB225" s="36"/>
      <c r="BC225" s="36"/>
      <c r="BD225" s="36"/>
      <c r="BE225" s="36"/>
      <c r="BF225" s="36"/>
      <c r="BG225" s="36"/>
    </row>
    <row r="226" spans="2:59" s="30" customFormat="1" ht="15" x14ac:dyDescent="0.2">
      <c r="B226" s="52" t="s">
        <v>548</v>
      </c>
      <c r="C226" s="33"/>
      <c r="D226" s="81"/>
      <c r="G226" s="33"/>
      <c r="H226" s="81"/>
      <c r="J226" s="32"/>
      <c r="K226" s="37"/>
      <c r="L226" s="37"/>
      <c r="M226" s="81"/>
      <c r="N226" s="81"/>
      <c r="O226" s="96"/>
      <c r="Q226" s="129"/>
      <c r="R226" s="43" t="s">
        <v>318</v>
      </c>
      <c r="S226" s="35"/>
      <c r="T226" s="35" t="s">
        <v>171</v>
      </c>
      <c r="U226" s="35"/>
      <c r="V226" s="35"/>
      <c r="W226" s="35"/>
      <c r="X226" s="35"/>
      <c r="Y226" s="35"/>
      <c r="Z226" s="35"/>
      <c r="AA226" s="35"/>
      <c r="AB226" s="35"/>
      <c r="AC226" s="35"/>
      <c r="AD226" s="35"/>
      <c r="AE226" s="35"/>
      <c r="AF226" s="35"/>
      <c r="AG226" s="35"/>
      <c r="AH226" s="35"/>
      <c r="AI226" s="35"/>
      <c r="AJ226" s="35"/>
      <c r="AK226" s="35"/>
      <c r="AL226" s="35"/>
      <c r="AM226" s="35"/>
      <c r="AN226" s="35"/>
      <c r="AO226" s="35"/>
      <c r="AP226" s="36"/>
      <c r="AQ226" s="36"/>
      <c r="AR226" s="36"/>
      <c r="AS226" s="36"/>
      <c r="AT226" s="36"/>
      <c r="AU226" s="36"/>
      <c r="AV226" s="36"/>
      <c r="AW226" s="36"/>
      <c r="AX226" s="36"/>
      <c r="AY226" s="36"/>
      <c r="AZ226" s="36"/>
      <c r="BA226" s="36"/>
      <c r="BB226" s="36"/>
      <c r="BC226" s="36"/>
      <c r="BD226" s="36"/>
      <c r="BE226" s="36"/>
      <c r="BF226" s="36"/>
      <c r="BG226" s="36"/>
    </row>
    <row r="227" spans="2:59" s="30" customFormat="1" ht="30" x14ac:dyDescent="0.2">
      <c r="B227" s="166" t="s">
        <v>553</v>
      </c>
      <c r="C227" s="152"/>
      <c r="D227" s="81" t="s">
        <v>264</v>
      </c>
      <c r="E227" s="33"/>
      <c r="G227" s="33"/>
      <c r="H227" s="81"/>
      <c r="M227" s="81"/>
      <c r="N227" s="81"/>
      <c r="O227" s="96"/>
      <c r="Q227" s="129"/>
      <c r="R227" s="191" t="str">
        <f>IF(ISNUMBER(C227),IF(AND(ISNUMBER(C225),C223="Aggregaatti"),C225*IF(D225="vuosi",365*24,IF(D225="kuukausi",30*24,IF(D225="päivä",24,1)))*T227,IF(C223="Aggregaatti",C227*(Muut!$F$15+Muut!$F$19),C227*T227)),"")</f>
        <v/>
      </c>
      <c r="S227" s="98" t="s">
        <v>160</v>
      </c>
      <c r="T227" s="191" t="str">
        <f>IF(ISNUMBER(C227),IF(C223="Ostosähkö", (K223),IF(C223="Aurinkopaneelit",(K223),K223)),"")</f>
        <v/>
      </c>
      <c r="U227" s="35"/>
      <c r="V227" s="35"/>
      <c r="W227" s="35"/>
      <c r="X227" s="35"/>
      <c r="Y227" s="35"/>
      <c r="Z227" s="35"/>
      <c r="AA227" s="35"/>
      <c r="AB227" s="35"/>
      <c r="AC227" s="35"/>
      <c r="AD227" s="35"/>
      <c r="AE227" s="35"/>
      <c r="AF227" s="35"/>
      <c r="AG227" s="35"/>
      <c r="AH227" s="35"/>
      <c r="AI227" s="35"/>
      <c r="AJ227" s="35"/>
      <c r="AK227" s="35"/>
      <c r="AL227" s="35"/>
      <c r="AM227" s="35"/>
      <c r="AN227" s="35"/>
      <c r="AO227" s="35"/>
      <c r="AP227" s="36"/>
      <c r="AQ227" s="36"/>
      <c r="AR227" s="36"/>
      <c r="AS227" s="36"/>
      <c r="AT227" s="36"/>
      <c r="AU227" s="36"/>
      <c r="AV227" s="36"/>
      <c r="AW227" s="36"/>
      <c r="AX227" s="36"/>
      <c r="AY227" s="36"/>
      <c r="AZ227" s="36"/>
      <c r="BA227" s="36"/>
      <c r="BB227" s="36"/>
      <c r="BC227" s="36"/>
      <c r="BD227" s="36"/>
      <c r="BE227" s="36"/>
      <c r="BF227" s="36"/>
      <c r="BG227" s="36"/>
    </row>
    <row r="228" spans="2:59" s="30" customFormat="1" ht="15" x14ac:dyDescent="0.2">
      <c r="B228" s="52" t="s">
        <v>708</v>
      </c>
      <c r="C228" s="33"/>
      <c r="D228" s="81"/>
      <c r="G228" s="77"/>
      <c r="H228" s="81"/>
      <c r="M228" s="81"/>
      <c r="N228" s="81"/>
      <c r="O228" s="96"/>
      <c r="Q228" s="129"/>
      <c r="R228" s="43" t="s">
        <v>318</v>
      </c>
      <c r="S228" s="35"/>
      <c r="T228" s="35" t="s">
        <v>705</v>
      </c>
      <c r="U228" s="35"/>
      <c r="V228" s="35"/>
      <c r="W228" s="35"/>
      <c r="X228" s="35"/>
      <c r="Y228" s="35"/>
      <c r="Z228" s="35"/>
      <c r="AA228" s="35"/>
      <c r="AB228" s="35"/>
      <c r="AC228" s="35"/>
      <c r="AD228" s="35"/>
      <c r="AE228" s="35"/>
      <c r="AF228" s="35"/>
      <c r="AG228" s="35"/>
      <c r="AH228" s="35"/>
      <c r="AI228" s="35"/>
      <c r="AJ228" s="35"/>
      <c r="AK228" s="35"/>
      <c r="AL228" s="35"/>
      <c r="AM228" s="35"/>
      <c r="AN228" s="35"/>
      <c r="AO228" s="35"/>
      <c r="AP228" s="36"/>
      <c r="AQ228" s="36"/>
      <c r="AR228" s="36"/>
      <c r="AS228" s="36"/>
      <c r="AT228" s="36"/>
      <c r="AU228" s="36"/>
      <c r="AV228" s="36"/>
      <c r="AW228" s="36"/>
      <c r="AX228" s="36"/>
      <c r="AY228" s="36"/>
      <c r="AZ228" s="36"/>
      <c r="BA228" s="36"/>
      <c r="BB228" s="36"/>
      <c r="BC228" s="36"/>
      <c r="BD228" s="36"/>
      <c r="BE228" s="36"/>
      <c r="BF228" s="36"/>
      <c r="BG228" s="36"/>
    </row>
    <row r="229" spans="2:59" s="30" customFormat="1" ht="15" x14ac:dyDescent="0.2">
      <c r="B229" s="44" t="s">
        <v>551</v>
      </c>
      <c r="C229" s="441"/>
      <c r="D229" s="81" t="s">
        <v>195</v>
      </c>
      <c r="G229" s="77"/>
      <c r="H229" s="81"/>
      <c r="M229" s="81"/>
      <c r="N229" s="81"/>
      <c r="O229" s="96"/>
      <c r="Q229" s="129"/>
      <c r="R229" s="191" t="str">
        <f>IF(ISNUMBER(C229),IF(AND(ISNUMBER(C225),C223="Aggregaatti"),IF(D225="vuosi",365*24,IF(D225="kuukausi",30*24,IF(D225="päivä",24,1)))*C225*T229,IF(AND(ISNUMBER(C225),OR(C223="Ostosähkö",C223="Aurinkopaneelit")),IF(D225="vuosi",365*24,IF(D225="kuukausi",30*24,IF(D225="päivä",24,1)))*C225*T229,IF(ISNUMBER(C225),IF(D225="vuosi",365*24,IF(D225="kuukausi",30*24,IF(D225="päivä",24,1)))*C225*C229/1000/((Muut!$M$15*Muut!$O$15+Muut!$M$16*Muut!$O$16)/2)*(Muut!$F$16+Muut!$F$19+Muut!$F$18+Muut!$F$15)/2,""))),"")</f>
        <v/>
      </c>
      <c r="S229" s="98" t="s">
        <v>160</v>
      </c>
      <c r="T229" s="191" t="str">
        <f>IF(ISNUMBER(C229),IF(C223="Ostosähkö",K223/K224,IF(C223="Aurinkopaneelit",K223/K224,IF(C223="Aggregaatti",K223,K223/K224))),IF(AND(C223="Aggregaatti",ISNUMBER(C225)),K223,""))</f>
        <v/>
      </c>
      <c r="U229" s="35"/>
      <c r="V229" s="35"/>
      <c r="W229" s="35"/>
      <c r="X229" s="35"/>
      <c r="Y229" s="35"/>
      <c r="Z229" s="35"/>
      <c r="AA229" s="35"/>
      <c r="AB229" s="35"/>
      <c r="AC229" s="35"/>
      <c r="AD229" s="35"/>
      <c r="AE229" s="35"/>
      <c r="AF229" s="35"/>
      <c r="AG229" s="35"/>
      <c r="AH229" s="35"/>
      <c r="AI229" s="35"/>
      <c r="AJ229" s="35"/>
      <c r="AK229" s="35"/>
      <c r="AL229" s="35"/>
      <c r="AM229" s="35"/>
      <c r="AN229" s="35"/>
      <c r="AO229" s="35"/>
      <c r="AP229" s="36"/>
      <c r="AQ229" s="36"/>
      <c r="AR229" s="36"/>
      <c r="AS229" s="36"/>
      <c r="AT229" s="36"/>
      <c r="AU229" s="36"/>
      <c r="AV229" s="36"/>
      <c r="AW229" s="36"/>
      <c r="AX229" s="36"/>
      <c r="AY229" s="36"/>
      <c r="AZ229" s="36"/>
      <c r="BA229" s="36"/>
      <c r="BB229" s="36"/>
      <c r="BC229" s="36"/>
      <c r="BD229" s="36"/>
      <c r="BE229" s="36"/>
      <c r="BF229" s="36"/>
      <c r="BG229" s="36"/>
    </row>
    <row r="230" spans="2:59" s="30" customFormat="1" ht="15" x14ac:dyDescent="0.2">
      <c r="D230" s="81"/>
      <c r="H230" s="81"/>
      <c r="M230" s="81"/>
      <c r="N230" s="81"/>
      <c r="O230" s="81"/>
      <c r="Q230" s="129"/>
      <c r="R230" s="94"/>
      <c r="S230" s="104"/>
      <c r="T230" s="36"/>
      <c r="U230" s="35"/>
      <c r="V230" s="35"/>
      <c r="W230" s="35"/>
      <c r="X230" s="35"/>
      <c r="Y230" s="35"/>
      <c r="Z230" s="35"/>
      <c r="AA230" s="35"/>
      <c r="AB230" s="35"/>
      <c r="AC230" s="35"/>
      <c r="AD230" s="35"/>
      <c r="AE230" s="35"/>
      <c r="AF230" s="35"/>
      <c r="AG230" s="35"/>
      <c r="AH230" s="35"/>
      <c r="AI230" s="35"/>
      <c r="AJ230" s="35"/>
      <c r="AK230" s="35"/>
      <c r="AL230" s="35"/>
      <c r="AM230" s="35"/>
      <c r="AN230" s="35"/>
      <c r="AO230" s="35"/>
      <c r="AP230" s="36"/>
      <c r="AQ230" s="36"/>
      <c r="AR230" s="36"/>
      <c r="AS230" s="36"/>
      <c r="AT230" s="36"/>
      <c r="AU230" s="36"/>
      <c r="AV230" s="36"/>
      <c r="AW230" s="36"/>
      <c r="AX230" s="36"/>
      <c r="AY230" s="36"/>
      <c r="AZ230" s="36"/>
      <c r="BA230" s="36"/>
      <c r="BB230" s="36"/>
      <c r="BC230" s="36"/>
      <c r="BD230" s="36"/>
      <c r="BE230" s="36"/>
      <c r="BF230" s="36"/>
      <c r="BG230" s="36"/>
    </row>
    <row r="231" spans="2:59" s="289" customFormat="1" ht="18" x14ac:dyDescent="0.2">
      <c r="B231" s="286" t="s">
        <v>288</v>
      </c>
      <c r="C231" s="287"/>
      <c r="D231" s="288"/>
      <c r="G231" s="287"/>
      <c r="H231" s="288"/>
      <c r="K231" s="287"/>
      <c r="L231" s="287"/>
      <c r="M231" s="288"/>
      <c r="N231" s="288"/>
      <c r="O231" s="291"/>
      <c r="P231" s="311"/>
      <c r="Q231" s="295"/>
      <c r="S231" s="294"/>
      <c r="T231" s="294"/>
      <c r="U231" s="294"/>
      <c r="V231" s="294"/>
      <c r="W231" s="294"/>
      <c r="X231" s="294"/>
      <c r="Y231" s="294"/>
      <c r="Z231" s="294"/>
      <c r="AA231" s="294"/>
      <c r="AB231" s="294"/>
      <c r="AC231" s="294"/>
      <c r="AD231" s="294"/>
      <c r="AE231" s="294"/>
      <c r="AF231" s="294"/>
      <c r="AG231" s="294"/>
      <c r="AH231" s="294"/>
      <c r="AI231" s="294"/>
      <c r="AJ231" s="294"/>
      <c r="AK231" s="294"/>
      <c r="AL231" s="294"/>
      <c r="AM231" s="294"/>
      <c r="AN231" s="295"/>
      <c r="AO231" s="295"/>
      <c r="AP231" s="295"/>
      <c r="AQ231" s="295"/>
      <c r="AR231" s="295"/>
      <c r="AS231" s="295"/>
      <c r="AT231" s="295"/>
      <c r="AU231" s="295"/>
      <c r="AV231" s="295"/>
      <c r="AW231" s="295"/>
      <c r="AX231" s="295"/>
      <c r="AY231" s="295"/>
      <c r="AZ231" s="295"/>
      <c r="BA231" s="295"/>
      <c r="BB231" s="295"/>
      <c r="BC231" s="295"/>
      <c r="BD231" s="295"/>
      <c r="BE231" s="295"/>
    </row>
    <row r="232" spans="2:59" s="30" customFormat="1" ht="15.75" x14ac:dyDescent="0.2">
      <c r="B232" s="8"/>
      <c r="C232" s="33"/>
      <c r="D232" s="81"/>
      <c r="G232" s="33"/>
      <c r="H232" s="81"/>
      <c r="J232" s="32"/>
      <c r="M232" s="83"/>
      <c r="N232" s="83"/>
      <c r="Q232" s="129"/>
      <c r="R232" s="35"/>
      <c r="S232" s="35"/>
      <c r="T232" s="36"/>
      <c r="U232" s="35"/>
      <c r="V232" s="43"/>
      <c r="W232" s="35"/>
      <c r="X232" s="35"/>
      <c r="Y232" s="35"/>
      <c r="Z232" s="35"/>
      <c r="AA232" s="35"/>
      <c r="AB232" s="35"/>
      <c r="AC232" s="35"/>
      <c r="AD232" s="35"/>
      <c r="AE232" s="35"/>
      <c r="AF232" s="35"/>
      <c r="AG232" s="35"/>
      <c r="AH232" s="35"/>
      <c r="AI232" s="35"/>
      <c r="AJ232" s="35"/>
      <c r="AK232" s="35"/>
      <c r="AL232" s="35"/>
      <c r="AM232" s="35"/>
      <c r="AN232" s="35"/>
      <c r="AO232" s="35"/>
      <c r="AP232" s="36"/>
      <c r="AQ232" s="36"/>
      <c r="AR232" s="36"/>
      <c r="AS232" s="36"/>
      <c r="AT232" s="36"/>
      <c r="AU232" s="36"/>
      <c r="AV232" s="36"/>
      <c r="AW232" s="36"/>
      <c r="AX232" s="36"/>
      <c r="AY232" s="36"/>
      <c r="AZ232" s="36"/>
      <c r="BA232" s="36"/>
      <c r="BB232" s="36"/>
      <c r="BC232" s="36"/>
      <c r="BD232" s="36"/>
      <c r="BE232" s="36"/>
      <c r="BF232" s="36"/>
      <c r="BG232" s="36"/>
    </row>
    <row r="233" spans="2:59" s="30" customFormat="1" ht="15" customHeight="1" x14ac:dyDescent="0.2">
      <c r="B233" s="30" t="s">
        <v>753</v>
      </c>
      <c r="J233" s="32"/>
      <c r="K233" s="37"/>
      <c r="L233" s="37"/>
      <c r="M233" s="81"/>
      <c r="N233" s="81"/>
      <c r="O233" s="249"/>
      <c r="Q233" s="34"/>
      <c r="R233" s="35"/>
      <c r="S233" s="35"/>
      <c r="T233" s="35"/>
      <c r="U233" s="35"/>
      <c r="V233" s="35"/>
      <c r="W233" s="35"/>
      <c r="X233" s="35"/>
      <c r="Y233" s="35"/>
      <c r="Z233" s="35"/>
      <c r="AA233" s="35"/>
      <c r="AB233" s="35"/>
      <c r="AC233" s="35"/>
      <c r="AD233" s="35"/>
      <c r="AE233" s="35"/>
      <c r="AF233" s="35"/>
      <c r="AG233" s="35"/>
      <c r="AH233" s="35"/>
      <c r="AI233" s="35"/>
      <c r="AJ233" s="35"/>
      <c r="AK233" s="36"/>
      <c r="AL233" s="36"/>
      <c r="AM233" s="36"/>
      <c r="AN233" s="36"/>
      <c r="AO233" s="36"/>
      <c r="AP233" s="36"/>
      <c r="AQ233" s="36"/>
      <c r="AR233" s="36"/>
      <c r="AS233" s="36"/>
      <c r="AT233" s="36"/>
      <c r="AU233" s="36"/>
      <c r="AV233" s="36"/>
      <c r="AW233" s="36"/>
      <c r="AX233" s="36"/>
      <c r="AY233" s="36"/>
      <c r="AZ233" s="36"/>
      <c r="BA233" s="36"/>
      <c r="BB233" s="36"/>
    </row>
    <row r="234" spans="2:59" s="30" customFormat="1" ht="15.75" x14ac:dyDescent="0.2">
      <c r="B234" s="8"/>
      <c r="C234" s="33"/>
      <c r="D234" s="81"/>
      <c r="G234" s="33"/>
      <c r="H234" s="81"/>
      <c r="J234" s="32"/>
      <c r="K234" s="37" t="s">
        <v>692</v>
      </c>
      <c r="L234" s="37" t="s">
        <v>185</v>
      </c>
      <c r="M234" s="81"/>
      <c r="N234" s="81"/>
      <c r="O234" s="249" t="s">
        <v>584</v>
      </c>
      <c r="Q234" s="129"/>
      <c r="R234" s="43" t="s">
        <v>318</v>
      </c>
      <c r="S234" s="35"/>
      <c r="T234" s="43"/>
      <c r="U234" s="35"/>
      <c r="V234" s="43"/>
      <c r="W234" s="35"/>
      <c r="X234" s="35"/>
      <c r="Y234" s="35"/>
      <c r="Z234" s="35"/>
      <c r="AA234" s="35"/>
      <c r="AB234" s="35"/>
      <c r="AC234" s="35"/>
      <c r="AD234" s="35"/>
      <c r="AE234" s="35"/>
      <c r="AF234" s="35"/>
      <c r="AG234" s="35"/>
      <c r="AH234" s="35"/>
      <c r="AI234" s="35"/>
      <c r="AJ234" s="35"/>
      <c r="AK234" s="35"/>
      <c r="AL234" s="35"/>
      <c r="AM234" s="35"/>
      <c r="AN234" s="35"/>
      <c r="AO234" s="35"/>
      <c r="AP234" s="36"/>
      <c r="AQ234" s="36"/>
      <c r="AR234" s="36"/>
      <c r="AS234" s="36"/>
      <c r="AT234" s="36"/>
      <c r="AU234" s="36"/>
      <c r="AV234" s="36"/>
      <c r="AW234" s="36"/>
      <c r="AX234" s="36"/>
      <c r="AY234" s="36"/>
      <c r="AZ234" s="36"/>
      <c r="BA234" s="36"/>
      <c r="BB234" s="36"/>
      <c r="BC234" s="36"/>
      <c r="BD234" s="36"/>
      <c r="BE234" s="36"/>
      <c r="BF234" s="36"/>
      <c r="BG234" s="36"/>
    </row>
    <row r="235" spans="2:59" s="30" customFormat="1" ht="30" x14ac:dyDescent="0.2">
      <c r="B235" s="76" t="s">
        <v>549</v>
      </c>
      <c r="C235" s="471" t="s">
        <v>265</v>
      </c>
      <c r="D235" s="473"/>
      <c r="E235" s="33"/>
      <c r="G235" s="33"/>
      <c r="H235" s="81"/>
      <c r="J235" s="32" t="s">
        <v>696</v>
      </c>
      <c r="K235" s="92" t="str">
        <f>IF(ISNUMBER(L235),L235,IF(C235=Pudotusvalikot!$Z$3,"--",IF(C235=Pudotusvalikot!$Z$4,Muut!$F$11/1000+Muut!$F$13/1000,IF(C235=Pudotusvalikot!$Z$5,Muut!$F$25+Muut!$F$26,IF(C235=Pudotusvalikot!$Z$6,Muut!$F$16+Muut!$F$19,Muut!$F$15+Muut!$F$18)))))</f>
        <v>--</v>
      </c>
      <c r="L235" s="71"/>
      <c r="M235" s="83" t="str">
        <f>IF(ISNUMBER(L235),"gCO2/e-yksikkö",IF(C235=Pudotusvalikot!$R$3,"--",IF(C235=Pudotusvalikot!$R$4,"gCO2/kWh",IF(C235=Pudotusvalikot!$R$5,"kgCO2/h",IF(C235=Pudotusvalikot!$R$6,"gCO2/kWh",IF(C235=Pudotusvalikot!$R$7,"kgCO2/l","kgCO2/kWh"))))))</f>
        <v>kgCO2/kWh</v>
      </c>
      <c r="N235" s="83"/>
      <c r="O235" s="250"/>
      <c r="Q235" s="129"/>
      <c r="R235" s="105" t="str">
        <f>IF(ISNUMBER(R239),R239,IF(ISNUMBER(R241),R241,""))</f>
        <v/>
      </c>
      <c r="S235" s="98" t="s">
        <v>160</v>
      </c>
      <c r="T235" s="43"/>
      <c r="U235" s="35"/>
      <c r="V235" s="43"/>
      <c r="W235" s="35"/>
      <c r="X235" s="35"/>
      <c r="Y235" s="35"/>
      <c r="Z235" s="35"/>
      <c r="AA235" s="35"/>
      <c r="AB235" s="35"/>
      <c r="AC235" s="35"/>
      <c r="AD235" s="35"/>
      <c r="AE235" s="35"/>
      <c r="AF235" s="35"/>
      <c r="AG235" s="35"/>
      <c r="AH235" s="35"/>
      <c r="AI235" s="35"/>
      <c r="AJ235" s="35"/>
      <c r="AK235" s="35"/>
      <c r="AL235" s="35"/>
      <c r="AM235" s="35"/>
      <c r="AN235" s="35"/>
      <c r="AO235" s="35"/>
      <c r="AP235" s="36"/>
      <c r="AQ235" s="36"/>
      <c r="AR235" s="36"/>
      <c r="AS235" s="36"/>
      <c r="AT235" s="36"/>
      <c r="AU235" s="36"/>
      <c r="AV235" s="36"/>
      <c r="AW235" s="36"/>
      <c r="AX235" s="36"/>
      <c r="AY235" s="36"/>
      <c r="AZ235" s="36"/>
      <c r="BA235" s="36"/>
      <c r="BB235" s="36"/>
      <c r="BC235" s="36"/>
      <c r="BD235" s="36"/>
      <c r="BE235" s="36"/>
      <c r="BF235" s="36"/>
      <c r="BG235" s="36"/>
    </row>
    <row r="236" spans="2:59" s="30" customFormat="1" ht="15" x14ac:dyDescent="0.2">
      <c r="B236" s="166" t="s">
        <v>486</v>
      </c>
      <c r="C236" s="156"/>
      <c r="D236" s="81" t="s">
        <v>8</v>
      </c>
      <c r="E236" s="33"/>
      <c r="G236" s="33"/>
      <c r="H236" s="81"/>
      <c r="J236" s="32" t="s">
        <v>486</v>
      </c>
      <c r="K236" s="382">
        <f>IF(ISNUMBER(L236),L236,IF(OR(C235="Bensiini",C235="Diesel"),Muut!$F$35,Muut!$F$36))</f>
        <v>0.4</v>
      </c>
      <c r="L236" s="382" t="str">
        <f>IF(ISNUMBER(C236),C236/100,"--")</f>
        <v>--</v>
      </c>
      <c r="M236" s="83"/>
      <c r="N236" s="83"/>
      <c r="O236" s="260"/>
      <c r="Q236" s="34"/>
      <c r="R236" s="59"/>
      <c r="S236" s="98"/>
      <c r="T236" s="43"/>
      <c r="U236" s="35"/>
      <c r="V236" s="35"/>
      <c r="W236" s="35"/>
      <c r="X236" s="35"/>
      <c r="Y236" s="35"/>
      <c r="Z236" s="35"/>
      <c r="AA236" s="35"/>
      <c r="AB236" s="35"/>
      <c r="AC236" s="35"/>
      <c r="AD236" s="35"/>
      <c r="AE236" s="35"/>
      <c r="AF236" s="35"/>
      <c r="AG236" s="35"/>
      <c r="AH236" s="35"/>
      <c r="AI236" s="35"/>
      <c r="AJ236" s="35"/>
      <c r="AK236" s="35"/>
      <c r="AL236" s="35"/>
      <c r="AM236" s="35"/>
      <c r="AN236" s="36"/>
      <c r="AO236" s="36"/>
      <c r="AP236" s="36"/>
      <c r="AQ236" s="36"/>
      <c r="AR236" s="36"/>
      <c r="AS236" s="36"/>
      <c r="AT236" s="36"/>
      <c r="AU236" s="36"/>
      <c r="AV236" s="36"/>
      <c r="AW236" s="36"/>
      <c r="AX236" s="36"/>
      <c r="AY236" s="36"/>
      <c r="AZ236" s="36"/>
      <c r="BA236" s="36"/>
      <c r="BB236" s="36"/>
      <c r="BC236" s="36"/>
      <c r="BD236" s="36"/>
      <c r="BE236" s="36"/>
    </row>
    <row r="237" spans="2:59" s="30" customFormat="1" ht="15" x14ac:dyDescent="0.2">
      <c r="B237" s="52" t="s">
        <v>283</v>
      </c>
      <c r="C237" s="156"/>
      <c r="D237" s="90" t="s">
        <v>269</v>
      </c>
      <c r="E237" s="77"/>
      <c r="G237" s="77"/>
      <c r="H237" s="81"/>
      <c r="M237" s="81"/>
      <c r="N237" s="81"/>
      <c r="O237" s="96"/>
      <c r="Q237" s="129"/>
      <c r="R237" s="9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6"/>
      <c r="AQ237" s="36"/>
      <c r="AR237" s="36"/>
      <c r="AS237" s="36"/>
      <c r="AT237" s="36"/>
      <c r="AU237" s="36"/>
      <c r="AV237" s="36"/>
      <c r="AW237" s="36"/>
      <c r="AX237" s="36"/>
      <c r="AY237" s="36"/>
      <c r="AZ237" s="36"/>
      <c r="BA237" s="36"/>
      <c r="BB237" s="36"/>
      <c r="BC237" s="36"/>
      <c r="BD237" s="36"/>
      <c r="BE237" s="36"/>
      <c r="BF237" s="36"/>
      <c r="BG237" s="36"/>
    </row>
    <row r="238" spans="2:59" s="30" customFormat="1" ht="15" x14ac:dyDescent="0.2">
      <c r="B238" s="52" t="s">
        <v>548</v>
      </c>
      <c r="C238" s="33"/>
      <c r="D238" s="81"/>
      <c r="G238" s="33"/>
      <c r="H238" s="81"/>
      <c r="J238" s="32"/>
      <c r="K238" s="37"/>
      <c r="L238" s="37"/>
      <c r="M238" s="81"/>
      <c r="N238" s="81"/>
      <c r="O238" s="96"/>
      <c r="Q238" s="129"/>
      <c r="R238" s="43" t="s">
        <v>318</v>
      </c>
      <c r="S238" s="35"/>
      <c r="T238" s="35" t="s">
        <v>171</v>
      </c>
      <c r="U238" s="35"/>
      <c r="V238" s="35"/>
      <c r="W238" s="35"/>
      <c r="X238" s="35"/>
      <c r="Y238" s="35"/>
      <c r="Z238" s="35"/>
      <c r="AA238" s="35"/>
      <c r="AB238" s="35"/>
      <c r="AC238" s="35"/>
      <c r="AD238" s="35"/>
      <c r="AE238" s="35"/>
      <c r="AF238" s="35"/>
      <c r="AG238" s="35"/>
      <c r="AH238" s="35"/>
      <c r="AI238" s="35"/>
      <c r="AJ238" s="35"/>
      <c r="AK238" s="35"/>
      <c r="AL238" s="35"/>
      <c r="AM238" s="35"/>
      <c r="AN238" s="35"/>
      <c r="AO238" s="35"/>
      <c r="AP238" s="36"/>
      <c r="AQ238" s="36"/>
      <c r="AR238" s="36"/>
      <c r="AS238" s="36"/>
      <c r="AT238" s="36"/>
      <c r="AU238" s="36"/>
      <c r="AV238" s="36"/>
      <c r="AW238" s="36"/>
      <c r="AX238" s="36"/>
      <c r="AY238" s="36"/>
      <c r="AZ238" s="36"/>
      <c r="BA238" s="36"/>
      <c r="BB238" s="36"/>
      <c r="BC238" s="36"/>
      <c r="BD238" s="36"/>
      <c r="BE238" s="36"/>
      <c r="BF238" s="36"/>
      <c r="BG238" s="36"/>
    </row>
    <row r="239" spans="2:59" s="30" customFormat="1" ht="30" x14ac:dyDescent="0.2">
      <c r="B239" s="166" t="s">
        <v>553</v>
      </c>
      <c r="C239" s="152"/>
      <c r="D239" s="81" t="s">
        <v>264</v>
      </c>
      <c r="E239" s="33"/>
      <c r="G239" s="33"/>
      <c r="H239" s="81"/>
      <c r="M239" s="81"/>
      <c r="N239" s="81"/>
      <c r="O239" s="96"/>
      <c r="Q239" s="129"/>
      <c r="R239" s="191" t="str">
        <f>IF(ISNUMBER(C239),IF(AND(ISNUMBER(C237),C235="Aggregaatti"),C237*IF(D237="vuosi",365*24,IF(D237="kuukausi",30*24,IF(D237="päivä",24,1)))*T239,IF(C235="Aggregaatti",C239*(Muut!$F$15+Muut!$F$19),C239*T239)),"")</f>
        <v/>
      </c>
      <c r="S239" s="98" t="s">
        <v>160</v>
      </c>
      <c r="T239" s="191" t="str">
        <f>IF(ISNUMBER(C239),IF(C235="Ostosähkö", (K235),IF(C235="Aurinkopaneelit",(K235),K235)),"")</f>
        <v/>
      </c>
      <c r="U239" s="35"/>
      <c r="V239" s="35"/>
      <c r="W239" s="35"/>
      <c r="X239" s="35"/>
      <c r="Y239" s="35"/>
      <c r="Z239" s="35"/>
      <c r="AA239" s="35"/>
      <c r="AB239" s="35"/>
      <c r="AC239" s="35"/>
      <c r="AD239" s="35"/>
      <c r="AE239" s="35"/>
      <c r="AF239" s="35"/>
      <c r="AG239" s="35"/>
      <c r="AH239" s="35"/>
      <c r="AI239" s="35"/>
      <c r="AJ239" s="35"/>
      <c r="AK239" s="35"/>
      <c r="AL239" s="35"/>
      <c r="AM239" s="35"/>
      <c r="AN239" s="35"/>
      <c r="AO239" s="35"/>
      <c r="AP239" s="36"/>
      <c r="AQ239" s="36"/>
      <c r="AR239" s="36"/>
      <c r="AS239" s="36"/>
      <c r="AT239" s="36"/>
      <c r="AU239" s="36"/>
      <c r="AV239" s="36"/>
      <c r="AW239" s="36"/>
      <c r="AX239" s="36"/>
      <c r="AY239" s="36"/>
      <c r="AZ239" s="36"/>
      <c r="BA239" s="36"/>
      <c r="BB239" s="36"/>
      <c r="BC239" s="36"/>
      <c r="BD239" s="36"/>
      <c r="BE239" s="36"/>
      <c r="BF239" s="36"/>
      <c r="BG239" s="36"/>
    </row>
    <row r="240" spans="2:59" s="30" customFormat="1" ht="15" x14ac:dyDescent="0.2">
      <c r="B240" s="52" t="s">
        <v>708</v>
      </c>
      <c r="C240" s="33"/>
      <c r="D240" s="81"/>
      <c r="G240" s="77"/>
      <c r="H240" s="81"/>
      <c r="M240" s="81"/>
      <c r="N240" s="81"/>
      <c r="O240" s="96"/>
      <c r="Q240" s="129"/>
      <c r="R240" s="43" t="s">
        <v>318</v>
      </c>
      <c r="S240" s="35"/>
      <c r="T240" s="35" t="s">
        <v>705</v>
      </c>
      <c r="U240" s="35"/>
      <c r="V240" s="35"/>
      <c r="W240" s="35"/>
      <c r="X240" s="35"/>
      <c r="Y240" s="35"/>
      <c r="Z240" s="35"/>
      <c r="AA240" s="35"/>
      <c r="AB240" s="35"/>
      <c r="AC240" s="35"/>
      <c r="AD240" s="35"/>
      <c r="AE240" s="35"/>
      <c r="AF240" s="35"/>
      <c r="AG240" s="35"/>
      <c r="AH240" s="35"/>
      <c r="AI240" s="35"/>
      <c r="AJ240" s="35"/>
      <c r="AK240" s="35"/>
      <c r="AL240" s="35"/>
      <c r="AM240" s="35"/>
      <c r="AN240" s="35"/>
      <c r="AO240" s="35"/>
      <c r="AP240" s="36"/>
      <c r="AQ240" s="36"/>
      <c r="AR240" s="36"/>
      <c r="AS240" s="36"/>
      <c r="AT240" s="36"/>
      <c r="AU240" s="36"/>
      <c r="AV240" s="36"/>
      <c r="AW240" s="36"/>
      <c r="AX240" s="36"/>
      <c r="AY240" s="36"/>
      <c r="AZ240" s="36"/>
      <c r="BA240" s="36"/>
      <c r="BB240" s="36"/>
      <c r="BC240" s="36"/>
      <c r="BD240" s="36"/>
      <c r="BE240" s="36"/>
      <c r="BF240" s="36"/>
      <c r="BG240" s="36"/>
    </row>
    <row r="241" spans="2:59" s="30" customFormat="1" ht="15" x14ac:dyDescent="0.2">
      <c r="B241" s="44" t="s">
        <v>551</v>
      </c>
      <c r="C241" s="441"/>
      <c r="D241" s="81" t="s">
        <v>195</v>
      </c>
      <c r="G241" s="77"/>
      <c r="H241" s="81"/>
      <c r="M241" s="81"/>
      <c r="N241" s="81"/>
      <c r="O241" s="96"/>
      <c r="Q241" s="129"/>
      <c r="R241" s="191" t="str">
        <f>IF(ISNUMBER(C241),IF(AND(ISNUMBER(C237),C235="Aggregaatti"),IF(D237="vuosi",365*24,IF(D237="kuukausi",30*24,IF(D237="päivä",24,1)))*C237*T241,IF(AND(ISNUMBER(C237),OR(C235="Ostosähkö",C235="Aurinkopaneelit")),IF(D237="vuosi",365*24,IF(D237="kuukausi",30*24,IF(D237="päivä",24,1)))*C237*T241,IF(ISNUMBER(C237),IF(D237="vuosi",365*24,IF(D237="kuukausi",30*24,IF(D237="päivä",24,1)))*C237*C241/1000/((Muut!$M$15*Muut!$O$15+Muut!$M$16*Muut!$O$16)/2)*(Muut!$F$16+Muut!$F$19+Muut!$F$18+Muut!$F$15)/2,""))),"")</f>
        <v/>
      </c>
      <c r="S241" s="98" t="s">
        <v>160</v>
      </c>
      <c r="T241" s="191" t="str">
        <f>IF(ISNUMBER(C241),IF(C235="Ostosähkö",K235/K236,IF(C235="Aurinkopaneelit",K235/K236,IF(C235="Aggregaatti",K235,K235/K236))),IF(AND(C235="Aggregaatti",ISNUMBER(C237)),K235,""))</f>
        <v/>
      </c>
      <c r="U241" s="35"/>
      <c r="V241" s="35"/>
      <c r="W241" s="35"/>
      <c r="X241" s="35"/>
      <c r="Y241" s="35"/>
      <c r="Z241" s="35"/>
      <c r="AA241" s="35"/>
      <c r="AB241" s="35"/>
      <c r="AC241" s="35"/>
      <c r="AD241" s="35"/>
      <c r="AE241" s="35"/>
      <c r="AF241" s="35"/>
      <c r="AG241" s="35"/>
      <c r="AH241" s="35"/>
      <c r="AI241" s="35"/>
      <c r="AJ241" s="35"/>
      <c r="AK241" s="35"/>
      <c r="AL241" s="35"/>
      <c r="AM241" s="35"/>
      <c r="AN241" s="35"/>
      <c r="AO241" s="35"/>
      <c r="AP241" s="36"/>
      <c r="AQ241" s="36"/>
      <c r="AR241" s="36"/>
      <c r="AS241" s="36"/>
      <c r="AT241" s="36"/>
      <c r="AU241" s="36"/>
      <c r="AV241" s="36"/>
      <c r="AW241" s="36"/>
      <c r="AX241" s="36"/>
      <c r="AY241" s="36"/>
      <c r="AZ241" s="36"/>
      <c r="BA241" s="36"/>
      <c r="BB241" s="36"/>
      <c r="BC241" s="36"/>
      <c r="BD241" s="36"/>
      <c r="BE241" s="36"/>
      <c r="BF241" s="36"/>
      <c r="BG241" s="36"/>
    </row>
    <row r="242" spans="2:59" s="30" customFormat="1" ht="15" x14ac:dyDescent="0.2">
      <c r="B242" s="52"/>
      <c r="C242" s="33"/>
      <c r="D242" s="33"/>
      <c r="E242" s="57"/>
      <c r="G242" s="33"/>
      <c r="H242" s="81"/>
      <c r="J242" s="32"/>
      <c r="K242" s="33"/>
      <c r="L242" s="33"/>
      <c r="M242" s="81"/>
      <c r="N242" s="81"/>
      <c r="O242" s="81"/>
      <c r="Q242" s="129"/>
      <c r="R242" s="94"/>
      <c r="S242" s="104"/>
      <c r="T242" s="36"/>
      <c r="U242" s="35"/>
      <c r="V242" s="35"/>
      <c r="W242" s="35"/>
      <c r="X242" s="35"/>
      <c r="Y242" s="35"/>
      <c r="Z242" s="35"/>
      <c r="AA242" s="35"/>
      <c r="AB242" s="35"/>
      <c r="AC242" s="35"/>
      <c r="AD242" s="35"/>
      <c r="AE242" s="35"/>
      <c r="AF242" s="35"/>
      <c r="AG242" s="35"/>
      <c r="AH242" s="35"/>
      <c r="AI242" s="35"/>
      <c r="AJ242" s="35"/>
      <c r="AK242" s="35"/>
      <c r="AL242" s="35"/>
      <c r="AM242" s="35"/>
      <c r="AN242" s="36"/>
      <c r="AO242" s="36"/>
      <c r="AP242" s="36"/>
      <c r="AQ242" s="36"/>
      <c r="AR242" s="36"/>
      <c r="AS242" s="36"/>
      <c r="AT242" s="36"/>
      <c r="AU242" s="36"/>
      <c r="AV242" s="36"/>
      <c r="AW242" s="36"/>
      <c r="AX242" s="36"/>
      <c r="AY242" s="36"/>
      <c r="AZ242" s="36"/>
      <c r="BA242" s="36"/>
      <c r="BB242" s="36"/>
      <c r="BC242" s="36"/>
      <c r="BD242" s="36"/>
      <c r="BE242" s="36"/>
    </row>
    <row r="243" spans="2:59" s="289" customFormat="1" ht="18" x14ac:dyDescent="0.2">
      <c r="B243" s="286" t="s">
        <v>42</v>
      </c>
      <c r="C243" s="287"/>
      <c r="D243" s="288"/>
      <c r="G243" s="287"/>
      <c r="H243" s="288"/>
      <c r="K243" s="287"/>
      <c r="L243" s="287"/>
      <c r="M243" s="288"/>
      <c r="N243" s="288"/>
      <c r="O243" s="291"/>
      <c r="P243" s="311"/>
      <c r="Q243" s="295"/>
      <c r="R243" s="289" t="str">
        <f>IF(OR(ISNUMBER(#REF!),ISNUMBER(#REF!),ISNUMBER(#REF!)),SUM(#REF!,#REF!,#REF!),"")</f>
        <v/>
      </c>
      <c r="S243" s="294"/>
      <c r="T243" s="294"/>
      <c r="U243" s="294"/>
      <c r="V243" s="294"/>
      <c r="W243" s="294"/>
      <c r="X243" s="294"/>
      <c r="Y243" s="294"/>
      <c r="Z243" s="294"/>
      <c r="AA243" s="294"/>
      <c r="AB243" s="294"/>
      <c r="AC243" s="294"/>
      <c r="AD243" s="294"/>
      <c r="AE243" s="294"/>
      <c r="AF243" s="294"/>
      <c r="AG243" s="294"/>
      <c r="AH243" s="294"/>
      <c r="AI243" s="294"/>
      <c r="AJ243" s="294"/>
      <c r="AK243" s="294"/>
      <c r="AL243" s="294"/>
      <c r="AM243" s="294"/>
      <c r="AN243" s="295"/>
      <c r="AO243" s="295"/>
      <c r="AP243" s="295"/>
      <c r="AQ243" s="295"/>
      <c r="AR243" s="295"/>
      <c r="AS243" s="295"/>
      <c r="AT243" s="295"/>
      <c r="AU243" s="295"/>
      <c r="AV243" s="295"/>
      <c r="AW243" s="295"/>
      <c r="AX243" s="295"/>
      <c r="AY243" s="295"/>
      <c r="AZ243" s="295"/>
      <c r="BA243" s="295"/>
      <c r="BB243" s="295"/>
      <c r="BC243" s="295"/>
      <c r="BD243" s="295"/>
      <c r="BE243" s="295"/>
    </row>
    <row r="244" spans="2:59" s="30" customFormat="1" ht="15.75" x14ac:dyDescent="0.2">
      <c r="B244" s="8"/>
      <c r="C244" s="33"/>
      <c r="D244" s="81"/>
      <c r="G244" s="33" t="s">
        <v>43</v>
      </c>
      <c r="H244" s="81"/>
      <c r="K244" s="37" t="s">
        <v>297</v>
      </c>
      <c r="L244" s="37" t="s">
        <v>185</v>
      </c>
      <c r="M244" s="81"/>
      <c r="N244" s="81"/>
      <c r="O244" s="249" t="s">
        <v>584</v>
      </c>
      <c r="Q244" s="34"/>
      <c r="R244" s="43" t="s">
        <v>318</v>
      </c>
      <c r="S244" s="35"/>
      <c r="T244" s="35" t="s">
        <v>238</v>
      </c>
      <c r="U244" s="35" t="s">
        <v>239</v>
      </c>
      <c r="V244" s="35" t="s">
        <v>240</v>
      </c>
      <c r="W244" s="35" t="s">
        <v>243</v>
      </c>
      <c r="X244" s="35" t="s">
        <v>241</v>
      </c>
      <c r="Y244" s="43" t="s">
        <v>242</v>
      </c>
      <c r="Z244" s="35" t="s">
        <v>244</v>
      </c>
      <c r="AA244" s="104"/>
      <c r="AB244" s="35"/>
      <c r="AC244" s="35"/>
      <c r="AD244" s="35"/>
      <c r="AE244" s="35"/>
      <c r="AF244" s="35"/>
      <c r="AG244" s="35"/>
      <c r="AH244" s="35"/>
      <c r="AI244" s="35"/>
      <c r="AJ244" s="35"/>
      <c r="AK244" s="35"/>
      <c r="AL244" s="35"/>
      <c r="AM244" s="35"/>
      <c r="AN244" s="36"/>
      <c r="AO244" s="36"/>
      <c r="AP244" s="36"/>
      <c r="AQ244" s="36"/>
      <c r="AR244" s="36"/>
      <c r="AS244" s="36"/>
      <c r="AT244" s="36"/>
      <c r="AU244" s="36"/>
      <c r="AV244" s="36"/>
      <c r="AW244" s="36"/>
      <c r="AX244" s="36"/>
      <c r="AY244" s="36"/>
      <c r="AZ244" s="36"/>
      <c r="BA244" s="36"/>
      <c r="BB244" s="36"/>
      <c r="BC244" s="36"/>
      <c r="BD244" s="36"/>
      <c r="BE244" s="36"/>
    </row>
    <row r="245" spans="2:59" s="30" customFormat="1" ht="15" x14ac:dyDescent="0.2">
      <c r="B245" s="52" t="s">
        <v>530</v>
      </c>
      <c r="C245" s="156"/>
      <c r="D245" s="81" t="s">
        <v>215</v>
      </c>
      <c r="G245" s="156"/>
      <c r="H245" s="81" t="s">
        <v>44</v>
      </c>
      <c r="J245" s="32" t="s">
        <v>514</v>
      </c>
      <c r="K245" s="108" t="str">
        <f>IFERROR(IF(ISNUMBER(L245),L245,VLOOKUP(C249,Kalusto!$C$100:$E$105,3,FALSE)),"--")</f>
        <v>--</v>
      </c>
      <c r="L245" s="61"/>
      <c r="M245" s="75" t="str">
        <f>IF(C249=Pudotusvalikot!$J$9,"kWh/100 km",IF(C249=Pudotusvalikot!$J$6,"kg/100 km","l/100 km"))</f>
        <v>l/100 km</v>
      </c>
      <c r="N245" s="75"/>
      <c r="O245" s="250"/>
      <c r="Q245" s="34"/>
      <c r="R245" s="105">
        <f>SUM(U245:Z245)</f>
        <v>0</v>
      </c>
      <c r="S245" s="98" t="s">
        <v>160</v>
      </c>
      <c r="T245" s="46">
        <f>IF(ISNUMBER(C246*C245*G245),C246*C245*G245,"")</f>
        <v>0</v>
      </c>
      <c r="U245" s="48">
        <f>IF(ISNUMBER(T245),IF(C249=Pudotusvalikot!$J$5,(Muut!$F$16+Muut!$F$19)*(T245*K245/100),0),"")</f>
        <v>0</v>
      </c>
      <c r="V245" s="48">
        <f>IF(ISNUMBER(T245),IF(C249=Pudotusvalikot!$J$4,(Muut!$F$15+Muut!$F$18)*(T245*K245/100),0),"")</f>
        <v>0</v>
      </c>
      <c r="W245" s="48">
        <f>IF(ISNUMBER(T245),IF(C249=Pudotusvalikot!$J$6,(Muut!$F$17+Muut!$F$20)*(T245*K245/100),0),"")</f>
        <v>0</v>
      </c>
      <c r="X245" s="48">
        <f>IF(ISNUMBER(T245),IF(C249=Pudotusvalikot!$J$7,((Muut!$F$16+Muut!$F$19)*(100%-Kalusto!$O$103)+(Muut!$F$15+Muut!$F$18)*Kalusto!$O$103)*(T245*K245/100),0),"")</f>
        <v>0</v>
      </c>
      <c r="Y245" s="72">
        <f>IF(ISNUMBER(T245),IF(C249=Pudotusvalikot!$J$8,((Kalusto!$K$104)*(100%-Kalusto!$O$104)+(Kalusto!$M$104)*Kalusto!$O$104)*(Muut!$F$14+Muut!$F$13)/100*T245/1000+((Kalusto!$G$104)*(100%-Kalusto!$O$104)+(Kalusto!$I$104)*Kalusto!$O$104)*(K245+Muut!$F$19)/100*T245,0),"")</f>
        <v>0</v>
      </c>
      <c r="Z245" s="72">
        <f>IF(ISNUMBER(T245),IF(C249=Pudotusvalikot!$J$9,Kalusto!$E$105*(K245+Muut!$F$13)/100*T245/1000,0),"")</f>
        <v>0</v>
      </c>
      <c r="AA245" s="104"/>
      <c r="AB245" s="35"/>
      <c r="AC245" s="35"/>
      <c r="AD245" s="35"/>
      <c r="AE245" s="35"/>
      <c r="AF245" s="35"/>
      <c r="AG245" s="35"/>
      <c r="AH245" s="35"/>
      <c r="AI245" s="35"/>
      <c r="AJ245" s="35"/>
      <c r="AK245" s="35"/>
      <c r="AL245" s="35"/>
      <c r="AM245" s="35"/>
      <c r="AN245" s="36"/>
      <c r="AO245" s="36"/>
      <c r="AP245" s="36"/>
      <c r="AQ245" s="36"/>
      <c r="AR245" s="36"/>
      <c r="AS245" s="36"/>
      <c r="AT245" s="36"/>
      <c r="AU245" s="36"/>
      <c r="AV245" s="36"/>
      <c r="AW245" s="36"/>
      <c r="AX245" s="36"/>
      <c r="AY245" s="36"/>
      <c r="AZ245" s="36"/>
      <c r="BA245" s="36"/>
      <c r="BB245" s="36"/>
      <c r="BC245" s="36"/>
      <c r="BD245" s="36"/>
      <c r="BE245" s="36"/>
    </row>
    <row r="246" spans="2:59" s="30" customFormat="1" ht="15" x14ac:dyDescent="0.2">
      <c r="B246" s="44" t="s">
        <v>529</v>
      </c>
      <c r="C246" s="156"/>
      <c r="D246" s="81" t="s">
        <v>5</v>
      </c>
      <c r="G246" s="33"/>
      <c r="H246" s="81"/>
      <c r="K246" s="130"/>
      <c r="L246" s="37"/>
      <c r="M246" s="81"/>
      <c r="N246" s="81"/>
      <c r="O246" s="96"/>
      <c r="Q246" s="34"/>
      <c r="R246" s="43" t="s">
        <v>318</v>
      </c>
      <c r="S246" s="35"/>
      <c r="T246" s="35" t="s">
        <v>238</v>
      </c>
      <c r="U246" s="35" t="s">
        <v>239</v>
      </c>
      <c r="V246" s="35" t="s">
        <v>240</v>
      </c>
      <c r="W246" s="35" t="s">
        <v>243</v>
      </c>
      <c r="X246" s="35" t="s">
        <v>241</v>
      </c>
      <c r="Y246" s="43" t="s">
        <v>242</v>
      </c>
      <c r="Z246" s="35" t="s">
        <v>244</v>
      </c>
      <c r="AA246" s="104"/>
      <c r="AB246" s="35"/>
      <c r="AC246" s="35"/>
      <c r="AD246" s="35"/>
      <c r="AE246" s="35"/>
      <c r="AF246" s="35"/>
      <c r="AG246" s="35"/>
      <c r="AH246" s="35"/>
      <c r="AI246" s="35"/>
      <c r="AJ246" s="35"/>
      <c r="AK246" s="35"/>
      <c r="AL246" s="35"/>
      <c r="AM246" s="35"/>
      <c r="AN246" s="36"/>
      <c r="AO246" s="36"/>
      <c r="AP246" s="36"/>
      <c r="AQ246" s="36"/>
      <c r="AR246" s="36"/>
      <c r="AS246" s="36"/>
      <c r="AT246" s="36"/>
      <c r="AU246" s="36"/>
      <c r="AV246" s="36"/>
      <c r="AW246" s="36"/>
      <c r="AX246" s="36"/>
      <c r="AY246" s="36"/>
      <c r="AZ246" s="36"/>
      <c r="BA246" s="36"/>
      <c r="BB246" s="36"/>
      <c r="BC246" s="36"/>
      <c r="BD246" s="36"/>
      <c r="BE246" s="36"/>
    </row>
    <row r="247" spans="2:59" s="30" customFormat="1" ht="30" x14ac:dyDescent="0.2">
      <c r="B247" s="76" t="s">
        <v>528</v>
      </c>
      <c r="C247" s="156"/>
      <c r="D247" s="81" t="s">
        <v>216</v>
      </c>
      <c r="G247" s="156"/>
      <c r="H247" s="81" t="s">
        <v>44</v>
      </c>
      <c r="J247" s="32" t="s">
        <v>514</v>
      </c>
      <c r="K247" s="108" t="str">
        <f>IFERROR(IF(ISNUMBER(L247),L247,VLOOKUP(C249,Kalusto!$C$100:$E$105,3,FALSE)),"--")</f>
        <v>--</v>
      </c>
      <c r="L247" s="61"/>
      <c r="M247" s="75" t="str">
        <f>IF(C249=Pudotusvalikot!$J$9,"kWh/100 km",IF(C249=Pudotusvalikot!$J$6,"kg/100 km","l/100 km"))</f>
        <v>l/100 km</v>
      </c>
      <c r="N247" s="75"/>
      <c r="O247" s="263"/>
      <c r="Q247" s="34"/>
      <c r="R247" s="105">
        <f>SUM(U247:Z247)</f>
        <v>0</v>
      </c>
      <c r="S247" s="98" t="s">
        <v>160</v>
      </c>
      <c r="T247" s="46">
        <f>IF(ISNUMBER(C248*C247*50*G247),C248*C247*50*G247,"")</f>
        <v>0</v>
      </c>
      <c r="U247" s="48">
        <f>IF(ISNUMBER(T247),IF(C249=Pudotusvalikot!$J$5,(Muut!$F$16+Muut!$F$19)*(T247*K247/100),0),"")</f>
        <v>0</v>
      </c>
      <c r="V247" s="48">
        <f>IF(ISNUMBER(T247),IF(C249=Pudotusvalikot!$J$4,(Muut!$F$15+Muut!$F$18)*(T247*K247/100),0),"")</f>
        <v>0</v>
      </c>
      <c r="W247" s="48">
        <f>IF(ISNUMBER(T247),IF(C249=Pudotusvalikot!$J$6,(Muut!$F$17+Muut!$F$20)*(T247*K247/100),0),"")</f>
        <v>0</v>
      </c>
      <c r="X247" s="48">
        <f>IF(ISNUMBER(T247),IF(C249=Pudotusvalikot!$J$7,((Muut!$F$16+Muut!$F$19)*(100%-Kalusto!$O$103)+(Muut!$F$15+Muut!$F$18)*Kalusto!$O$103)*(T247*K247/100),0),"")</f>
        <v>0</v>
      </c>
      <c r="Y247" s="72">
        <f>IF(ISNUMBER(T247),IF(C249=Pudotusvalikot!$J$8,((Kalusto!$K$104)*(100%-Kalusto!$O$104)+(Kalusto!$M$104)*Kalusto!$O$104)*(Muut!$F$14+Muut!$F$13)/100*T247/1000+((Kalusto!$G$104)*(100%-Kalusto!$O$104)+(Kalusto!$I$104)*Kalusto!$O$104)*(K247+Muut!$F$19)/100*T247,0),"")</f>
        <v>0</v>
      </c>
      <c r="Z247" s="72">
        <f>IF(ISNUMBER(T247),IF(C249=Pudotusvalikot!$J$9,Kalusto!$E$105*(K247+Muut!$F$13)/100*T247/1000,0),"")</f>
        <v>0</v>
      </c>
      <c r="AA247" s="104"/>
      <c r="AB247" s="35"/>
      <c r="AC247" s="35"/>
      <c r="AD247" s="35"/>
      <c r="AE247" s="35"/>
      <c r="AF247" s="35"/>
      <c r="AG247" s="35"/>
      <c r="AH247" s="35"/>
      <c r="AI247" s="35"/>
      <c r="AJ247" s="35"/>
      <c r="AK247" s="35"/>
      <c r="AL247" s="35"/>
      <c r="AM247" s="35"/>
      <c r="AN247" s="36"/>
      <c r="AO247" s="36"/>
      <c r="AP247" s="36"/>
      <c r="AQ247" s="36"/>
      <c r="AR247" s="36"/>
      <c r="AS247" s="36"/>
      <c r="AT247" s="36"/>
      <c r="AU247" s="36"/>
      <c r="AV247" s="36"/>
      <c r="AW247" s="36"/>
      <c r="AX247" s="36"/>
      <c r="AY247" s="36"/>
      <c r="AZ247" s="36"/>
      <c r="BA247" s="36"/>
      <c r="BB247" s="36"/>
      <c r="BC247" s="36"/>
      <c r="BD247" s="36"/>
      <c r="BE247" s="36"/>
    </row>
    <row r="248" spans="2:59" s="30" customFormat="1" ht="15" x14ac:dyDescent="0.2">
      <c r="B248" s="44" t="s">
        <v>527</v>
      </c>
      <c r="C248" s="156"/>
      <c r="D248" s="81" t="s">
        <v>5</v>
      </c>
      <c r="G248" s="33"/>
      <c r="H248" s="81"/>
      <c r="K248" s="130"/>
      <c r="L248" s="37"/>
      <c r="M248" s="81"/>
      <c r="N248" s="81"/>
      <c r="O248" s="96"/>
      <c r="Q248" s="34"/>
      <c r="R248" s="95"/>
      <c r="S248" s="35"/>
      <c r="T248" s="35"/>
      <c r="U248" s="35"/>
      <c r="V248" s="35"/>
      <c r="W248" s="35"/>
      <c r="X248" s="35"/>
      <c r="Y248" s="35"/>
      <c r="Z248" s="35"/>
      <c r="AA248" s="35"/>
      <c r="AB248" s="35"/>
      <c r="AC248" s="35"/>
      <c r="AD248" s="35"/>
      <c r="AE248" s="35"/>
      <c r="AF248" s="35"/>
      <c r="AG248" s="35"/>
      <c r="AH248" s="35"/>
      <c r="AI248" s="35"/>
      <c r="AJ248" s="35"/>
      <c r="AK248" s="35"/>
      <c r="AL248" s="35"/>
      <c r="AM248" s="35"/>
      <c r="AN248" s="36"/>
      <c r="AO248" s="36"/>
      <c r="AP248" s="36"/>
      <c r="AQ248" s="36"/>
      <c r="AR248" s="36"/>
      <c r="AS248" s="36"/>
      <c r="AT248" s="36"/>
      <c r="AU248" s="36"/>
      <c r="AV248" s="36"/>
      <c r="AW248" s="36"/>
      <c r="AX248" s="36"/>
      <c r="AY248" s="36"/>
      <c r="AZ248" s="36"/>
      <c r="BA248" s="36"/>
      <c r="BB248" s="36"/>
      <c r="BC248" s="36"/>
      <c r="BD248" s="36"/>
      <c r="BE248" s="36"/>
    </row>
    <row r="249" spans="2:59" s="30" customFormat="1" ht="15" x14ac:dyDescent="0.2">
      <c r="B249" s="52" t="s">
        <v>524</v>
      </c>
      <c r="C249" s="474" t="s">
        <v>309</v>
      </c>
      <c r="D249" s="474"/>
      <c r="G249" s="33"/>
      <c r="H249" s="81"/>
      <c r="J249" s="32"/>
      <c r="K249" s="33"/>
      <c r="L249" s="33"/>
      <c r="M249" s="81"/>
      <c r="N249" s="81"/>
      <c r="O249" s="96"/>
      <c r="Q249" s="34"/>
      <c r="R249" s="95"/>
      <c r="S249" s="35"/>
      <c r="T249" s="35"/>
      <c r="U249" s="35"/>
      <c r="V249" s="35"/>
      <c r="W249" s="35"/>
      <c r="X249" s="35"/>
      <c r="Y249" s="35"/>
      <c r="Z249" s="35"/>
      <c r="AA249" s="35"/>
      <c r="AB249" s="35"/>
      <c r="AC249" s="35"/>
      <c r="AD249" s="35"/>
      <c r="AE249" s="35"/>
      <c r="AF249" s="35"/>
      <c r="AG249" s="35"/>
      <c r="AH249" s="35"/>
      <c r="AI249" s="35"/>
      <c r="AJ249" s="35"/>
      <c r="AK249" s="35"/>
      <c r="AL249" s="35"/>
      <c r="AM249" s="35"/>
      <c r="AN249" s="36"/>
      <c r="AO249" s="36"/>
      <c r="AP249" s="36"/>
      <c r="AQ249" s="36"/>
      <c r="AR249" s="36"/>
      <c r="AS249" s="36"/>
      <c r="AT249" s="36"/>
      <c r="AU249" s="36"/>
      <c r="AV249" s="36"/>
      <c r="AW249" s="36"/>
      <c r="AX249" s="36"/>
      <c r="AY249" s="36"/>
      <c r="AZ249" s="36"/>
      <c r="BA249" s="36"/>
      <c r="BB249" s="36"/>
      <c r="BC249" s="36"/>
      <c r="BD249" s="36"/>
      <c r="BE249" s="36"/>
    </row>
    <row r="250" spans="2:59" s="30" customFormat="1" ht="15" x14ac:dyDescent="0.2">
      <c r="B250" s="52"/>
      <c r="C250" s="52"/>
      <c r="D250" s="52"/>
      <c r="F250" s="52"/>
      <c r="G250" s="52"/>
      <c r="H250" s="52"/>
      <c r="I250" s="52"/>
      <c r="J250" s="32"/>
      <c r="K250" s="33"/>
      <c r="L250" s="33"/>
      <c r="M250" s="81"/>
      <c r="N250" s="81"/>
      <c r="O250" s="96"/>
      <c r="Q250" s="34"/>
      <c r="R250" s="95"/>
      <c r="S250" s="35"/>
      <c r="T250" s="35"/>
      <c r="U250" s="35"/>
      <c r="V250" s="35"/>
      <c r="W250" s="35"/>
      <c r="X250" s="35"/>
      <c r="Y250" s="35"/>
      <c r="Z250" s="35"/>
      <c r="AA250" s="35"/>
      <c r="AB250" s="35"/>
      <c r="AC250" s="35"/>
      <c r="AD250" s="35"/>
      <c r="AE250" s="35"/>
      <c r="AF250" s="35"/>
      <c r="AG250" s="35"/>
      <c r="AH250" s="35"/>
      <c r="AI250" s="35"/>
      <c r="AJ250" s="35"/>
      <c r="AK250" s="35"/>
      <c r="AL250" s="35"/>
      <c r="AM250" s="35"/>
      <c r="AN250" s="36"/>
      <c r="AO250" s="36"/>
      <c r="AP250" s="36"/>
      <c r="AQ250" s="36"/>
      <c r="AR250" s="36"/>
      <c r="AS250" s="36"/>
      <c r="AT250" s="36"/>
      <c r="AU250" s="36"/>
      <c r="AV250" s="36"/>
      <c r="AW250" s="36"/>
      <c r="AX250" s="36"/>
      <c r="AY250" s="36"/>
      <c r="AZ250" s="36"/>
      <c r="BA250" s="36"/>
      <c r="BB250" s="36"/>
      <c r="BC250" s="36"/>
      <c r="BD250" s="36"/>
      <c r="BE250" s="36"/>
    </row>
    <row r="251" spans="2:59" s="192" customFormat="1" ht="23.25" x14ac:dyDescent="0.2">
      <c r="B251" s="193" t="s">
        <v>290</v>
      </c>
      <c r="C251" s="194"/>
      <c r="D251" s="195"/>
      <c r="G251" s="194"/>
      <c r="H251" s="195"/>
      <c r="J251" s="196"/>
      <c r="O251" s="264"/>
      <c r="P251" s="197"/>
      <c r="Q251" s="198"/>
      <c r="R251" s="199"/>
      <c r="S251" s="198"/>
      <c r="T251" s="200"/>
      <c r="U251" s="201"/>
      <c r="V251" s="201"/>
      <c r="W251" s="201"/>
      <c r="X251" s="201"/>
      <c r="Y251" s="201"/>
      <c r="Z251" s="201"/>
      <c r="AA251" s="201"/>
      <c r="AB251" s="201"/>
      <c r="AC251" s="201"/>
      <c r="AD251" s="201"/>
      <c r="AE251" s="201"/>
      <c r="AF251" s="201"/>
      <c r="AG251" s="201"/>
      <c r="AH251" s="201"/>
      <c r="AI251" s="201"/>
      <c r="AJ251" s="201"/>
      <c r="AK251" s="201"/>
      <c r="AL251" s="201"/>
      <c r="AM251" s="201"/>
      <c r="AN251" s="201"/>
      <c r="AO251" s="201"/>
      <c r="AP251" s="200"/>
      <c r="AQ251" s="200"/>
      <c r="AR251" s="200"/>
      <c r="AS251" s="200"/>
      <c r="AT251" s="200"/>
      <c r="AU251" s="200"/>
      <c r="AV251" s="200"/>
      <c r="AW251" s="200"/>
      <c r="AX251" s="200"/>
      <c r="AY251" s="200"/>
      <c r="AZ251" s="200"/>
      <c r="BA251" s="200"/>
      <c r="BB251" s="200"/>
      <c r="BC251" s="200"/>
      <c r="BD251" s="200"/>
      <c r="BE251" s="200"/>
      <c r="BF251" s="200"/>
      <c r="BG251" s="200"/>
    </row>
    <row r="252" spans="2:59" s="30" customFormat="1" ht="15.75" x14ac:dyDescent="0.2">
      <c r="B252" s="8"/>
      <c r="C252" s="33"/>
      <c r="D252" s="81"/>
      <c r="G252" s="33"/>
      <c r="H252" s="81"/>
      <c r="K252" s="33"/>
      <c r="L252" s="33"/>
      <c r="M252" s="81"/>
      <c r="N252" s="81"/>
      <c r="O252" s="81"/>
      <c r="Q252" s="34"/>
      <c r="R252" s="95"/>
      <c r="S252" s="35"/>
      <c r="T252" s="35"/>
      <c r="U252" s="35"/>
      <c r="V252" s="35"/>
      <c r="W252" s="35"/>
      <c r="X252" s="35"/>
      <c r="Y252" s="35"/>
      <c r="Z252" s="35"/>
      <c r="AA252" s="35"/>
      <c r="AB252" s="35"/>
      <c r="AC252" s="35"/>
      <c r="AD252" s="35"/>
      <c r="AE252" s="35"/>
      <c r="AF252" s="35"/>
      <c r="AG252" s="35"/>
      <c r="AH252" s="35"/>
      <c r="AI252" s="35"/>
      <c r="AJ252" s="35"/>
      <c r="AK252" s="35"/>
      <c r="AL252" s="35"/>
      <c r="AM252" s="35"/>
      <c r="AN252" s="36"/>
      <c r="AO252" s="36"/>
      <c r="AP252" s="36"/>
      <c r="AQ252" s="36"/>
      <c r="AR252" s="36"/>
      <c r="AS252" s="36"/>
      <c r="AT252" s="36"/>
      <c r="AU252" s="36"/>
      <c r="AV252" s="36"/>
      <c r="AW252" s="36"/>
      <c r="AX252" s="36"/>
      <c r="AY252" s="36"/>
      <c r="AZ252" s="36"/>
      <c r="BA252" s="36"/>
      <c r="BB252" s="36"/>
      <c r="BC252" s="36"/>
      <c r="BD252" s="36"/>
      <c r="BE252" s="36"/>
    </row>
    <row r="253" spans="2:59" s="289" customFormat="1" ht="18" x14ac:dyDescent="0.2">
      <c r="B253" s="286" t="s">
        <v>440</v>
      </c>
      <c r="C253" s="287"/>
      <c r="D253" s="288"/>
      <c r="G253" s="287"/>
      <c r="H253" s="288"/>
      <c r="K253" s="287"/>
      <c r="L253" s="287"/>
      <c r="M253" s="288"/>
      <c r="N253" s="288"/>
      <c r="O253" s="291"/>
      <c r="P253" s="311"/>
      <c r="Q253" s="295"/>
      <c r="R253" s="289" t="str">
        <f>IF(OR(ISNUMBER(#REF!),ISNUMBER(#REF!),ISNUMBER(#REF!)),SUM(#REF!,#REF!,#REF!),"")</f>
        <v/>
      </c>
      <c r="S253" s="294"/>
      <c r="T253" s="294"/>
      <c r="U253" s="294"/>
      <c r="V253" s="294"/>
      <c r="W253" s="294"/>
      <c r="X253" s="294"/>
      <c r="Y253" s="294"/>
      <c r="Z253" s="294"/>
      <c r="AA253" s="294"/>
      <c r="AB253" s="294"/>
      <c r="AC253" s="294"/>
      <c r="AD253" s="294"/>
      <c r="AE253" s="294"/>
      <c r="AF253" s="294"/>
      <c r="AG253" s="294"/>
      <c r="AH253" s="294"/>
      <c r="AI253" s="294"/>
      <c r="AJ253" s="294"/>
      <c r="AK253" s="294"/>
      <c r="AL253" s="294"/>
      <c r="AM253" s="294"/>
      <c r="AN253" s="295"/>
      <c r="AO253" s="295"/>
      <c r="AP253" s="295"/>
      <c r="AQ253" s="295"/>
      <c r="AR253" s="295"/>
      <c r="AS253" s="295"/>
      <c r="AT253" s="295"/>
      <c r="AU253" s="295"/>
      <c r="AV253" s="295"/>
      <c r="AW253" s="295"/>
      <c r="AX253" s="295"/>
      <c r="AY253" s="295"/>
      <c r="AZ253" s="295"/>
      <c r="BA253" s="295"/>
      <c r="BB253" s="295"/>
      <c r="BC253" s="295"/>
      <c r="BD253" s="295"/>
      <c r="BE253" s="295"/>
    </row>
    <row r="254" spans="2:59" s="30" customFormat="1" ht="15" x14ac:dyDescent="0.2">
      <c r="C254" s="33"/>
      <c r="D254" s="81"/>
      <c r="G254" s="33"/>
      <c r="H254" s="81"/>
      <c r="K254" s="33"/>
      <c r="L254" s="33"/>
      <c r="M254" s="81"/>
      <c r="N254" s="81"/>
      <c r="O254" s="81"/>
      <c r="Q254" s="34"/>
      <c r="R254" s="95"/>
      <c r="S254" s="35"/>
      <c r="T254" s="35"/>
      <c r="U254" s="35"/>
      <c r="V254" s="35"/>
      <c r="W254" s="35"/>
      <c r="X254" s="35"/>
      <c r="Y254" s="35"/>
      <c r="Z254" s="35"/>
      <c r="AA254" s="35"/>
      <c r="AB254" s="35"/>
      <c r="AC254" s="35"/>
      <c r="AD254" s="35"/>
      <c r="AE254" s="35"/>
      <c r="AF254" s="35"/>
      <c r="AG254" s="35"/>
      <c r="AH254" s="35"/>
      <c r="AI254" s="35"/>
      <c r="AJ254" s="35"/>
      <c r="AK254" s="35"/>
      <c r="AL254" s="35"/>
      <c r="AM254" s="35"/>
      <c r="AN254" s="36"/>
      <c r="AO254" s="36"/>
      <c r="AP254" s="36"/>
      <c r="AQ254" s="36"/>
      <c r="AR254" s="36"/>
      <c r="AS254" s="36"/>
      <c r="AT254" s="36"/>
      <c r="AU254" s="36"/>
      <c r="AV254" s="36"/>
      <c r="AW254" s="36"/>
      <c r="AX254" s="36"/>
      <c r="AY254" s="36"/>
      <c r="AZ254" s="36"/>
      <c r="BA254" s="36"/>
      <c r="BB254" s="36"/>
      <c r="BC254" s="36"/>
      <c r="BD254" s="36"/>
      <c r="BE254" s="36"/>
    </row>
    <row r="255" spans="2:59" s="289" customFormat="1" ht="18" x14ac:dyDescent="0.2">
      <c r="B255" s="286" t="s">
        <v>55</v>
      </c>
      <c r="C255" s="287"/>
      <c r="D255" s="288"/>
      <c r="G255" s="287"/>
      <c r="H255" s="288"/>
      <c r="K255" s="287"/>
      <c r="L255" s="287"/>
      <c r="M255" s="288"/>
      <c r="N255" s="288"/>
      <c r="O255" s="291"/>
      <c r="P255" s="311"/>
      <c r="Q255" s="295"/>
      <c r="R255" s="289" t="str">
        <f>IF(OR(ISNUMBER(#REF!),ISNUMBER(#REF!),ISNUMBER(#REF!)),SUM(#REF!,#REF!,#REF!),"")</f>
        <v/>
      </c>
      <c r="S255" s="294"/>
      <c r="T255" s="294"/>
      <c r="U255" s="294"/>
      <c r="V255" s="294"/>
      <c r="W255" s="294"/>
      <c r="X255" s="294"/>
      <c r="Y255" s="294"/>
      <c r="Z255" s="294"/>
      <c r="AA255" s="294"/>
      <c r="AB255" s="294"/>
      <c r="AC255" s="294"/>
      <c r="AD255" s="294"/>
      <c r="AE255" s="294"/>
      <c r="AF255" s="294"/>
      <c r="AG255" s="294"/>
      <c r="AH255" s="294"/>
      <c r="AI255" s="294"/>
      <c r="AJ255" s="294"/>
      <c r="AK255" s="294"/>
      <c r="AL255" s="294"/>
      <c r="AM255" s="294"/>
      <c r="AN255" s="295"/>
      <c r="AO255" s="295"/>
      <c r="AP255" s="295"/>
      <c r="AQ255" s="295"/>
      <c r="AR255" s="295"/>
      <c r="AS255" s="295"/>
      <c r="AT255" s="295"/>
      <c r="AU255" s="295"/>
      <c r="AV255" s="295"/>
      <c r="AW255" s="295"/>
      <c r="AX255" s="295"/>
      <c r="AY255" s="295"/>
      <c r="AZ255" s="295"/>
      <c r="BA255" s="295"/>
      <c r="BB255" s="295"/>
      <c r="BC255" s="295"/>
      <c r="BD255" s="295"/>
      <c r="BE255" s="295"/>
    </row>
    <row r="256" spans="2:59" s="30" customFormat="1" ht="15.75" x14ac:dyDescent="0.2">
      <c r="B256" s="8"/>
      <c r="C256" s="33"/>
      <c r="D256" s="81"/>
      <c r="G256" s="33"/>
      <c r="H256" s="81"/>
      <c r="K256" s="33"/>
      <c r="L256" s="33"/>
      <c r="M256" s="81"/>
      <c r="N256" s="81"/>
      <c r="O256" s="81"/>
      <c r="Q256" s="34"/>
      <c r="R256" s="95"/>
      <c r="S256" s="35"/>
      <c r="T256" s="43"/>
      <c r="U256" s="43"/>
      <c r="V256" s="35"/>
      <c r="W256" s="35"/>
      <c r="X256" s="35"/>
      <c r="Y256" s="35"/>
      <c r="Z256" s="35"/>
      <c r="AA256" s="35"/>
      <c r="AB256" s="35"/>
      <c r="AC256" s="35"/>
      <c r="AD256" s="35"/>
      <c r="AE256" s="35"/>
      <c r="AF256" s="35"/>
      <c r="AG256" s="35"/>
      <c r="AH256" s="35"/>
      <c r="AI256" s="35"/>
      <c r="AJ256" s="35"/>
      <c r="AK256" s="35"/>
      <c r="AL256" s="35"/>
      <c r="AM256" s="35"/>
      <c r="AN256" s="36"/>
      <c r="AO256" s="36"/>
      <c r="AP256" s="36"/>
      <c r="AQ256" s="36"/>
      <c r="AR256" s="36"/>
      <c r="AS256" s="36"/>
      <c r="AT256" s="36"/>
      <c r="AU256" s="36"/>
      <c r="AV256" s="36"/>
      <c r="AW256" s="36"/>
      <c r="AX256" s="36"/>
      <c r="AY256" s="36"/>
      <c r="AZ256" s="36"/>
      <c r="BA256" s="36"/>
      <c r="BB256" s="36"/>
      <c r="BC256" s="36"/>
      <c r="BD256" s="36"/>
      <c r="BE256" s="36"/>
    </row>
    <row r="257" spans="2:57" s="30" customFormat="1" ht="15" x14ac:dyDescent="0.2">
      <c r="B257" s="151" t="s">
        <v>441</v>
      </c>
      <c r="C257" s="33"/>
      <c r="D257" s="81"/>
      <c r="G257" s="33"/>
      <c r="H257" s="81"/>
      <c r="K257" s="37" t="s">
        <v>297</v>
      </c>
      <c r="L257" s="37" t="s">
        <v>185</v>
      </c>
      <c r="M257" s="81"/>
      <c r="N257" s="81"/>
      <c r="O257" s="249" t="s">
        <v>584</v>
      </c>
      <c r="Q257" s="34"/>
      <c r="R257" s="43" t="s">
        <v>318</v>
      </c>
      <c r="S257" s="35"/>
      <c r="T257" s="43" t="s">
        <v>246</v>
      </c>
      <c r="U257" s="104"/>
      <c r="V257" s="35"/>
      <c r="W257" s="35"/>
      <c r="X257" s="35"/>
      <c r="Y257" s="35"/>
      <c r="Z257" s="35"/>
      <c r="AA257" s="35"/>
      <c r="AB257" s="35"/>
      <c r="AC257" s="35"/>
      <c r="AD257" s="35"/>
      <c r="AE257" s="35"/>
      <c r="AF257" s="35"/>
      <c r="AG257" s="35"/>
      <c r="AH257" s="35"/>
      <c r="AI257" s="35"/>
      <c r="AJ257" s="35"/>
      <c r="AK257" s="35"/>
      <c r="AL257" s="35"/>
      <c r="AM257" s="35"/>
      <c r="AN257" s="36"/>
      <c r="AO257" s="36"/>
      <c r="AP257" s="36"/>
      <c r="AQ257" s="36"/>
      <c r="AR257" s="36"/>
      <c r="AS257" s="36"/>
      <c r="AT257" s="36"/>
      <c r="AU257" s="36"/>
      <c r="AV257" s="36"/>
      <c r="AW257" s="36"/>
      <c r="AX257" s="36"/>
      <c r="AY257" s="36"/>
      <c r="AZ257" s="36"/>
      <c r="BA257" s="36"/>
      <c r="BB257" s="36"/>
      <c r="BC257" s="36"/>
      <c r="BD257" s="36"/>
      <c r="BE257" s="36"/>
    </row>
    <row r="258" spans="2:57" s="30" customFormat="1" ht="15" x14ac:dyDescent="0.2">
      <c r="B258" s="52" t="s">
        <v>461</v>
      </c>
      <c r="C258" s="471" t="s">
        <v>300</v>
      </c>
      <c r="D258" s="472"/>
      <c r="E258" s="472"/>
      <c r="F258" s="472"/>
      <c r="G258" s="473"/>
      <c r="H258" s="81"/>
      <c r="J258" s="32" t="s">
        <v>424</v>
      </c>
      <c r="K258" s="92" t="str">
        <f>IFERROR(IF(ISNUMBER(L258),L258,(VLOOKUP(C258,Kalusto!$C$5:$E$42,3,FALSE))*(VLOOKUP(C259,Muut!$D$40:$E$43,2,FALSE))),"--")</f>
        <v>--</v>
      </c>
      <c r="L258" s="39"/>
      <c r="M258" s="40" t="s">
        <v>189</v>
      </c>
      <c r="N258" s="40"/>
      <c r="O258" s="250"/>
      <c r="Q258" s="34"/>
      <c r="R258" s="48" t="str">
        <f>IF(ISNUMBER(K258*T258),K258*T258,"")</f>
        <v/>
      </c>
      <c r="S258" s="98" t="s">
        <v>160</v>
      </c>
      <c r="T258" s="48" t="str">
        <f>IF(ISNUMBER(C260),C260,"")</f>
        <v/>
      </c>
      <c r="U258" s="104"/>
      <c r="V258" s="59"/>
      <c r="W258" s="35"/>
      <c r="X258" s="35"/>
      <c r="Y258" s="35"/>
      <c r="Z258" s="35"/>
      <c r="AA258" s="35"/>
      <c r="AB258" s="35"/>
      <c r="AC258" s="35"/>
      <c r="AD258" s="35"/>
      <c r="AE258" s="35"/>
      <c r="AF258" s="35"/>
      <c r="AG258" s="35"/>
      <c r="AH258" s="35"/>
      <c r="AI258" s="35"/>
      <c r="AJ258" s="35"/>
      <c r="AK258" s="35"/>
      <c r="AL258" s="35"/>
      <c r="AM258" s="35"/>
      <c r="AN258" s="36"/>
      <c r="AO258" s="36"/>
      <c r="AP258" s="36"/>
      <c r="AQ258" s="36"/>
      <c r="AR258" s="36"/>
      <c r="AS258" s="36"/>
      <c r="AT258" s="36"/>
      <c r="AU258" s="36"/>
      <c r="AV258" s="36"/>
      <c r="AW258" s="36"/>
      <c r="AX258" s="36"/>
      <c r="AY258" s="36"/>
      <c r="AZ258" s="36"/>
      <c r="BA258" s="36"/>
      <c r="BB258" s="36"/>
      <c r="BC258" s="36"/>
      <c r="BD258" s="36"/>
      <c r="BE258" s="36"/>
    </row>
    <row r="259" spans="2:57" s="30" customFormat="1" ht="15" x14ac:dyDescent="0.2">
      <c r="B259" s="166" t="s">
        <v>460</v>
      </c>
      <c r="C259" s="156" t="s">
        <v>309</v>
      </c>
      <c r="D259" s="33"/>
      <c r="E259" s="33"/>
      <c r="F259" s="33"/>
      <c r="G259" s="33"/>
      <c r="H259" s="57"/>
      <c r="J259" s="169"/>
      <c r="K259" s="169"/>
      <c r="L259" s="169"/>
      <c r="M259" s="40"/>
      <c r="N259" s="40"/>
      <c r="O259" s="259"/>
      <c r="Q259" s="45"/>
      <c r="R259" s="59"/>
      <c r="S259" s="98"/>
      <c r="T259" s="35"/>
      <c r="U259" s="35"/>
      <c r="V259" s="177"/>
      <c r="W259" s="177"/>
      <c r="X259" s="59"/>
      <c r="Y259" s="35"/>
      <c r="Z259" s="59"/>
      <c r="AA259" s="178"/>
      <c r="AB259" s="59"/>
      <c r="AC259" s="59"/>
      <c r="AD259" s="59"/>
      <c r="AE259" s="59"/>
      <c r="AF259" s="178"/>
      <c r="AG259" s="59"/>
      <c r="AH259" s="35"/>
      <c r="AI259" s="35"/>
      <c r="AJ259" s="35"/>
      <c r="AK259" s="104"/>
      <c r="AL259" s="35"/>
      <c r="AM259" s="35"/>
      <c r="AN259" s="36"/>
      <c r="AO259" s="36"/>
      <c r="AP259" s="36"/>
      <c r="AQ259" s="36"/>
      <c r="AR259" s="36"/>
      <c r="AS259" s="36"/>
      <c r="AT259" s="36"/>
      <c r="AU259" s="36"/>
      <c r="AV259" s="36"/>
      <c r="AW259" s="36"/>
      <c r="AX259" s="36"/>
      <c r="AY259" s="36"/>
      <c r="AZ259" s="36"/>
      <c r="BA259" s="36"/>
      <c r="BB259" s="36"/>
      <c r="BC259" s="36"/>
      <c r="BD259" s="36"/>
      <c r="BE259" s="36"/>
    </row>
    <row r="260" spans="2:57" s="30" customFormat="1" ht="15" x14ac:dyDescent="0.2">
      <c r="B260" s="52" t="s">
        <v>427</v>
      </c>
      <c r="C260" s="189"/>
      <c r="D260" s="81" t="s">
        <v>51</v>
      </c>
      <c r="G260" s="33"/>
      <c r="H260" s="81"/>
      <c r="J260" s="32"/>
      <c r="K260" s="33"/>
      <c r="L260" s="33"/>
      <c r="M260" s="81"/>
      <c r="N260" s="81"/>
      <c r="O260" s="96"/>
      <c r="Q260" s="34"/>
      <c r="R260" s="35"/>
      <c r="S260" s="35"/>
      <c r="T260" s="35"/>
      <c r="U260" s="104"/>
      <c r="V260" s="35"/>
      <c r="W260" s="35"/>
      <c r="X260" s="35"/>
      <c r="Y260" s="35"/>
      <c r="Z260" s="35"/>
      <c r="AA260" s="35"/>
      <c r="AB260" s="35"/>
      <c r="AC260" s="35"/>
      <c r="AD260" s="35"/>
      <c r="AE260" s="35"/>
      <c r="AF260" s="35"/>
      <c r="AG260" s="35"/>
      <c r="AH260" s="35"/>
      <c r="AI260" s="35"/>
      <c r="AJ260" s="35"/>
      <c r="AK260" s="35"/>
      <c r="AL260" s="35"/>
      <c r="AM260" s="35"/>
      <c r="AN260" s="36"/>
      <c r="AO260" s="36"/>
      <c r="AP260" s="36"/>
      <c r="AQ260" s="36"/>
      <c r="AR260" s="36"/>
      <c r="AS260" s="36"/>
      <c r="AT260" s="36"/>
      <c r="AU260" s="36"/>
      <c r="AV260" s="36"/>
      <c r="AW260" s="36"/>
      <c r="AX260" s="36"/>
      <c r="AY260" s="36"/>
      <c r="AZ260" s="36"/>
      <c r="BA260" s="36"/>
      <c r="BB260" s="36"/>
      <c r="BC260" s="36"/>
      <c r="BD260" s="36"/>
      <c r="BE260" s="36"/>
    </row>
    <row r="261" spans="2:57" s="30" customFormat="1" ht="15" x14ac:dyDescent="0.2">
      <c r="B261" s="151" t="s">
        <v>442</v>
      </c>
      <c r="C261" s="33"/>
      <c r="D261" s="81"/>
      <c r="G261" s="33"/>
      <c r="H261" s="81"/>
      <c r="J261" s="32"/>
      <c r="K261" s="37" t="s">
        <v>297</v>
      </c>
      <c r="L261" s="37" t="s">
        <v>185</v>
      </c>
      <c r="M261" s="81"/>
      <c r="N261" s="81"/>
      <c r="O261" s="96"/>
      <c r="Q261" s="34"/>
      <c r="R261" s="43" t="s">
        <v>318</v>
      </c>
      <c r="S261" s="35"/>
      <c r="T261" s="43" t="s">
        <v>246</v>
      </c>
      <c r="U261" s="104"/>
      <c r="V261" s="35"/>
      <c r="W261" s="43"/>
      <c r="X261" s="35"/>
      <c r="Y261" s="35"/>
      <c r="Z261" s="35"/>
      <c r="AA261" s="35"/>
      <c r="AB261" s="35"/>
      <c r="AC261" s="35"/>
      <c r="AD261" s="35"/>
      <c r="AE261" s="35"/>
      <c r="AF261" s="35"/>
      <c r="AG261" s="35"/>
      <c r="AH261" s="35"/>
      <c r="AI261" s="35"/>
      <c r="AJ261" s="35"/>
      <c r="AK261" s="35"/>
      <c r="AL261" s="35"/>
      <c r="AM261" s="35"/>
      <c r="AN261" s="36"/>
      <c r="AO261" s="36"/>
      <c r="AP261" s="36"/>
      <c r="AQ261" s="36"/>
      <c r="AR261" s="36"/>
      <c r="AS261" s="36"/>
      <c r="AT261" s="36"/>
      <c r="AU261" s="36"/>
      <c r="AV261" s="36"/>
      <c r="AW261" s="36"/>
      <c r="AX261" s="36"/>
      <c r="AY261" s="36"/>
      <c r="AZ261" s="36"/>
      <c r="BA261" s="36"/>
      <c r="BB261" s="36"/>
      <c r="BC261" s="36"/>
      <c r="BD261" s="36"/>
      <c r="BE261" s="36"/>
    </row>
    <row r="262" spans="2:57" s="30" customFormat="1" ht="15" x14ac:dyDescent="0.2">
      <c r="B262" s="52" t="s">
        <v>461</v>
      </c>
      <c r="C262" s="471" t="s">
        <v>300</v>
      </c>
      <c r="D262" s="472"/>
      <c r="E262" s="472"/>
      <c r="F262" s="472"/>
      <c r="G262" s="473"/>
      <c r="H262" s="81"/>
      <c r="J262" s="32" t="s">
        <v>424</v>
      </c>
      <c r="K262" s="92" t="str">
        <f>IFERROR(IF(ISNUMBER(L262),L262,(VLOOKUP(C262,Kalusto!$C$5:$E$42,3,FALSE))*(VLOOKUP(C263,Muut!$D$40:$E$43,2,FALSE))),"--")</f>
        <v>--</v>
      </c>
      <c r="L262" s="39"/>
      <c r="M262" s="40" t="s">
        <v>189</v>
      </c>
      <c r="N262" s="40"/>
      <c r="O262" s="259"/>
      <c r="Q262" s="34"/>
      <c r="R262" s="48" t="str">
        <f>IF(ISNUMBER(K262*T262),K262*T262,"")</f>
        <v/>
      </c>
      <c r="S262" s="98" t="s">
        <v>160</v>
      </c>
      <c r="T262" s="48" t="str">
        <f>IF(ISNUMBER(C264),C264,"")</f>
        <v/>
      </c>
      <c r="U262" s="104"/>
      <c r="V262" s="59"/>
      <c r="W262" s="35"/>
      <c r="X262" s="35"/>
      <c r="Y262" s="35"/>
      <c r="Z262" s="35"/>
      <c r="AA262" s="35"/>
      <c r="AB262" s="35"/>
      <c r="AC262" s="35"/>
      <c r="AD262" s="35"/>
      <c r="AE262" s="35"/>
      <c r="AF262" s="35"/>
      <c r="AG262" s="35"/>
      <c r="AH262" s="35"/>
      <c r="AI262" s="35"/>
      <c r="AJ262" s="35"/>
      <c r="AK262" s="35"/>
      <c r="AL262" s="35"/>
      <c r="AM262" s="35"/>
      <c r="AN262" s="36"/>
      <c r="AO262" s="36"/>
      <c r="AP262" s="36"/>
      <c r="AQ262" s="36"/>
      <c r="AR262" s="36"/>
      <c r="AS262" s="36"/>
      <c r="AT262" s="36"/>
      <c r="AU262" s="36"/>
      <c r="AV262" s="36"/>
      <c r="AW262" s="36"/>
      <c r="AX262" s="36"/>
      <c r="AY262" s="36"/>
      <c r="AZ262" s="36"/>
      <c r="BA262" s="36"/>
      <c r="BB262" s="36"/>
      <c r="BC262" s="36"/>
      <c r="BD262" s="36"/>
      <c r="BE262" s="36"/>
    </row>
    <row r="263" spans="2:57" s="30" customFormat="1" ht="15" x14ac:dyDescent="0.2">
      <c r="B263" s="166" t="s">
        <v>460</v>
      </c>
      <c r="C263" s="156" t="s">
        <v>309</v>
      </c>
      <c r="D263" s="33"/>
      <c r="E263" s="33"/>
      <c r="F263" s="33"/>
      <c r="G263" s="33"/>
      <c r="H263" s="57"/>
      <c r="J263" s="169"/>
      <c r="K263" s="169"/>
      <c r="L263" s="169"/>
      <c r="M263" s="40"/>
      <c r="N263" s="40"/>
      <c r="O263" s="259"/>
      <c r="Q263" s="45"/>
      <c r="R263" s="59"/>
      <c r="S263" s="98"/>
      <c r="T263" s="35"/>
      <c r="U263" s="35"/>
      <c r="V263" s="177"/>
      <c r="W263" s="177"/>
      <c r="X263" s="59"/>
      <c r="Y263" s="35"/>
      <c r="Z263" s="59"/>
      <c r="AA263" s="178"/>
      <c r="AB263" s="59"/>
      <c r="AC263" s="59"/>
      <c r="AD263" s="59"/>
      <c r="AE263" s="59"/>
      <c r="AF263" s="178"/>
      <c r="AG263" s="59"/>
      <c r="AH263" s="35"/>
      <c r="AI263" s="35"/>
      <c r="AJ263" s="35"/>
      <c r="AK263" s="104"/>
      <c r="AL263" s="35"/>
      <c r="AM263" s="35"/>
      <c r="AN263" s="36"/>
      <c r="AO263" s="36"/>
      <c r="AP263" s="36"/>
      <c r="AQ263" s="36"/>
      <c r="AR263" s="36"/>
      <c r="AS263" s="36"/>
      <c r="AT263" s="36"/>
      <c r="AU263" s="36"/>
      <c r="AV263" s="36"/>
      <c r="AW263" s="36"/>
      <c r="AX263" s="36"/>
      <c r="AY263" s="36"/>
      <c r="AZ263" s="36"/>
      <c r="BA263" s="36"/>
      <c r="BB263" s="36"/>
      <c r="BC263" s="36"/>
      <c r="BD263" s="36"/>
      <c r="BE263" s="36"/>
    </row>
    <row r="264" spans="2:57" s="30" customFormat="1" ht="15" x14ac:dyDescent="0.2">
      <c r="B264" s="52" t="s">
        <v>427</v>
      </c>
      <c r="C264" s="189"/>
      <c r="D264" s="81" t="s">
        <v>51</v>
      </c>
      <c r="G264" s="33"/>
      <c r="H264" s="81"/>
      <c r="J264" s="32"/>
      <c r="K264" s="33"/>
      <c r="L264" s="33"/>
      <c r="M264" s="81"/>
      <c r="N264" s="81"/>
      <c r="O264" s="96"/>
      <c r="Q264" s="34"/>
      <c r="R264" s="35"/>
      <c r="S264" s="35"/>
      <c r="T264" s="35"/>
      <c r="U264" s="104"/>
      <c r="V264" s="35"/>
      <c r="W264" s="35"/>
      <c r="X264" s="35"/>
      <c r="Y264" s="35"/>
      <c r="Z264" s="35"/>
      <c r="AA264" s="35"/>
      <c r="AB264" s="35"/>
      <c r="AC264" s="35"/>
      <c r="AD264" s="35"/>
      <c r="AE264" s="35"/>
      <c r="AF264" s="35"/>
      <c r="AG264" s="35"/>
      <c r="AH264" s="35"/>
      <c r="AI264" s="35"/>
      <c r="AJ264" s="35"/>
      <c r="AK264" s="35"/>
      <c r="AL264" s="35"/>
      <c r="AM264" s="35"/>
      <c r="AN264" s="36"/>
      <c r="AO264" s="36"/>
      <c r="AP264" s="36"/>
      <c r="AQ264" s="36"/>
      <c r="AR264" s="36"/>
      <c r="AS264" s="36"/>
      <c r="AT264" s="36"/>
      <c r="AU264" s="36"/>
      <c r="AV264" s="36"/>
      <c r="AW264" s="36"/>
      <c r="AX264" s="36"/>
      <c r="AY264" s="36"/>
      <c r="AZ264" s="36"/>
      <c r="BA264" s="36"/>
      <c r="BB264" s="36"/>
      <c r="BC264" s="36"/>
      <c r="BD264" s="36"/>
      <c r="BE264" s="36"/>
    </row>
    <row r="265" spans="2:57" s="30" customFormat="1" ht="15" x14ac:dyDescent="0.2">
      <c r="B265" s="151" t="s">
        <v>443</v>
      </c>
      <c r="C265" s="33"/>
      <c r="D265" s="81"/>
      <c r="G265" s="33"/>
      <c r="H265" s="81"/>
      <c r="J265" s="32"/>
      <c r="K265" s="37" t="s">
        <v>297</v>
      </c>
      <c r="L265" s="37" t="s">
        <v>185</v>
      </c>
      <c r="M265" s="81"/>
      <c r="N265" s="81"/>
      <c r="O265" s="96"/>
      <c r="Q265" s="34"/>
      <c r="R265" s="43" t="s">
        <v>318</v>
      </c>
      <c r="S265" s="35"/>
      <c r="T265" s="43" t="s">
        <v>246</v>
      </c>
      <c r="U265" s="104"/>
      <c r="V265" s="35"/>
      <c r="W265" s="43"/>
      <c r="X265" s="35"/>
      <c r="Y265" s="35"/>
      <c r="Z265" s="35"/>
      <c r="AA265" s="35"/>
      <c r="AB265" s="35"/>
      <c r="AC265" s="35"/>
      <c r="AD265" s="35"/>
      <c r="AE265" s="35"/>
      <c r="AF265" s="35"/>
      <c r="AG265" s="35"/>
      <c r="AH265" s="35"/>
      <c r="AI265" s="35"/>
      <c r="AJ265" s="35"/>
      <c r="AK265" s="35"/>
      <c r="AL265" s="35"/>
      <c r="AM265" s="35"/>
      <c r="AN265" s="36"/>
      <c r="AO265" s="36"/>
      <c r="AP265" s="36"/>
      <c r="AQ265" s="36"/>
      <c r="AR265" s="36"/>
      <c r="AS265" s="36"/>
      <c r="AT265" s="36"/>
      <c r="AU265" s="36"/>
      <c r="AV265" s="36"/>
      <c r="AW265" s="36"/>
      <c r="AX265" s="36"/>
      <c r="AY265" s="36"/>
      <c r="AZ265" s="36"/>
      <c r="BA265" s="36"/>
      <c r="BB265" s="36"/>
      <c r="BC265" s="36"/>
      <c r="BD265" s="36"/>
      <c r="BE265" s="36"/>
    </row>
    <row r="266" spans="2:57" s="30" customFormat="1" ht="15" x14ac:dyDescent="0.2">
      <c r="B266" s="52" t="s">
        <v>461</v>
      </c>
      <c r="C266" s="471" t="s">
        <v>300</v>
      </c>
      <c r="D266" s="472"/>
      <c r="E266" s="472"/>
      <c r="F266" s="472"/>
      <c r="G266" s="473"/>
      <c r="H266" s="81"/>
      <c r="J266" s="32" t="s">
        <v>424</v>
      </c>
      <c r="K266" s="92" t="str">
        <f>IFERROR(IF(ISNUMBER(L266),L266,(VLOOKUP(C266,Kalusto!$C$5:$E$42,3,FALSE))*(VLOOKUP(C267,Muut!$D$40:$E$43,2,FALSE))),"--")</f>
        <v>--</v>
      </c>
      <c r="L266" s="39"/>
      <c r="M266" s="40" t="s">
        <v>189</v>
      </c>
      <c r="N266" s="40"/>
      <c r="O266" s="259"/>
      <c r="Q266" s="34"/>
      <c r="R266" s="48" t="str">
        <f>IF(ISNUMBER(K266*T266),K266*T266,"")</f>
        <v/>
      </c>
      <c r="S266" s="98" t="s">
        <v>160</v>
      </c>
      <c r="T266" s="48" t="str">
        <f>IF(ISNUMBER(C268),C268,"")</f>
        <v/>
      </c>
      <c r="U266" s="104"/>
      <c r="V266" s="59"/>
      <c r="W266" s="35"/>
      <c r="X266" s="35"/>
      <c r="Y266" s="35"/>
      <c r="Z266" s="35"/>
      <c r="AA266" s="35"/>
      <c r="AB266" s="35"/>
      <c r="AC266" s="35"/>
      <c r="AD266" s="35"/>
      <c r="AE266" s="35"/>
      <c r="AF266" s="35"/>
      <c r="AG266" s="35"/>
      <c r="AH266" s="35"/>
      <c r="AI266" s="35"/>
      <c r="AJ266" s="35"/>
      <c r="AK266" s="35"/>
      <c r="AL266" s="35"/>
      <c r="AM266" s="35"/>
      <c r="AN266" s="36"/>
      <c r="AO266" s="36"/>
      <c r="AP266" s="36"/>
      <c r="AQ266" s="36"/>
      <c r="AR266" s="36"/>
      <c r="AS266" s="36"/>
      <c r="AT266" s="36"/>
      <c r="AU266" s="36"/>
      <c r="AV266" s="36"/>
      <c r="AW266" s="36"/>
      <c r="AX266" s="36"/>
      <c r="AY266" s="36"/>
      <c r="AZ266" s="36"/>
      <c r="BA266" s="36"/>
      <c r="BB266" s="36"/>
      <c r="BC266" s="36"/>
      <c r="BD266" s="36"/>
      <c r="BE266" s="36"/>
    </row>
    <row r="267" spans="2:57" s="30" customFormat="1" ht="15" x14ac:dyDescent="0.2">
      <c r="B267" s="166" t="s">
        <v>460</v>
      </c>
      <c r="C267" s="156" t="s">
        <v>309</v>
      </c>
      <c r="D267" s="33"/>
      <c r="E267" s="33"/>
      <c r="F267" s="33"/>
      <c r="G267" s="33"/>
      <c r="H267" s="57"/>
      <c r="J267" s="169"/>
      <c r="K267" s="169"/>
      <c r="L267" s="169"/>
      <c r="M267" s="40"/>
      <c r="N267" s="40"/>
      <c r="O267" s="259"/>
      <c r="Q267" s="45"/>
      <c r="R267" s="59"/>
      <c r="S267" s="98"/>
      <c r="T267" s="35"/>
      <c r="U267" s="35"/>
      <c r="V267" s="177"/>
      <c r="W267" s="177"/>
      <c r="X267" s="59"/>
      <c r="Y267" s="35"/>
      <c r="Z267" s="59"/>
      <c r="AA267" s="178"/>
      <c r="AB267" s="59"/>
      <c r="AC267" s="59"/>
      <c r="AD267" s="59"/>
      <c r="AE267" s="59"/>
      <c r="AF267" s="178"/>
      <c r="AG267" s="59"/>
      <c r="AH267" s="35"/>
      <c r="AI267" s="35"/>
      <c r="AJ267" s="35"/>
      <c r="AK267" s="104"/>
      <c r="AL267" s="35"/>
      <c r="AM267" s="35"/>
      <c r="AN267" s="36"/>
      <c r="AO267" s="36"/>
      <c r="AP267" s="36"/>
      <c r="AQ267" s="36"/>
      <c r="AR267" s="36"/>
      <c r="AS267" s="36"/>
      <c r="AT267" s="36"/>
      <c r="AU267" s="36"/>
      <c r="AV267" s="36"/>
      <c r="AW267" s="36"/>
      <c r="AX267" s="36"/>
      <c r="AY267" s="36"/>
      <c r="AZ267" s="36"/>
      <c r="BA267" s="36"/>
      <c r="BB267" s="36"/>
      <c r="BC267" s="36"/>
      <c r="BD267" s="36"/>
      <c r="BE267" s="36"/>
    </row>
    <row r="268" spans="2:57" s="30" customFormat="1" ht="15" x14ac:dyDescent="0.2">
      <c r="B268" s="52" t="s">
        <v>427</v>
      </c>
      <c r="C268" s="189"/>
      <c r="D268" s="81" t="s">
        <v>51</v>
      </c>
      <c r="G268" s="33"/>
      <c r="H268" s="81"/>
      <c r="J268" s="32"/>
      <c r="K268" s="33"/>
      <c r="L268" s="33"/>
      <c r="M268" s="81"/>
      <c r="N268" s="81"/>
      <c r="O268" s="96"/>
      <c r="Q268" s="34"/>
      <c r="R268" s="95"/>
      <c r="S268" s="35"/>
      <c r="T268" s="35"/>
      <c r="U268" s="35"/>
      <c r="V268" s="35"/>
      <c r="W268" s="35"/>
      <c r="X268" s="35"/>
      <c r="Y268" s="35"/>
      <c r="Z268" s="35"/>
      <c r="AA268" s="35"/>
      <c r="AB268" s="35"/>
      <c r="AC268" s="35"/>
      <c r="AD268" s="35"/>
      <c r="AE268" s="35"/>
      <c r="AF268" s="35"/>
      <c r="AG268" s="35"/>
      <c r="AH268" s="35"/>
      <c r="AI268" s="35"/>
      <c r="AJ268" s="35"/>
      <c r="AK268" s="35"/>
      <c r="AL268" s="35"/>
      <c r="AM268" s="35"/>
      <c r="AN268" s="36"/>
      <c r="AO268" s="36"/>
      <c r="AP268" s="36"/>
      <c r="AQ268" s="36"/>
      <c r="AR268" s="36"/>
      <c r="AS268" s="36"/>
      <c r="AT268" s="36"/>
      <c r="AU268" s="36"/>
      <c r="AV268" s="36"/>
      <c r="AW268" s="36"/>
      <c r="AX268" s="36"/>
      <c r="AY268" s="36"/>
      <c r="AZ268" s="36"/>
      <c r="BA268" s="36"/>
      <c r="BB268" s="36"/>
      <c r="BC268" s="36"/>
      <c r="BD268" s="36"/>
      <c r="BE268" s="36"/>
    </row>
    <row r="269" spans="2:57" s="30" customFormat="1" ht="15" x14ac:dyDescent="0.2">
      <c r="C269" s="33"/>
      <c r="D269" s="81"/>
      <c r="G269" s="33"/>
      <c r="H269" s="81"/>
      <c r="K269" s="33"/>
      <c r="L269" s="33"/>
      <c r="M269" s="81"/>
      <c r="N269" s="81"/>
      <c r="O269" s="81"/>
      <c r="Q269" s="34"/>
      <c r="R269" s="95"/>
      <c r="S269" s="35"/>
      <c r="T269" s="35"/>
      <c r="U269" s="35"/>
      <c r="V269" s="35"/>
      <c r="W269" s="35"/>
      <c r="X269" s="35"/>
      <c r="Y269" s="35"/>
      <c r="Z269" s="35"/>
      <c r="AA269" s="35"/>
      <c r="AB269" s="35"/>
      <c r="AC269" s="35"/>
      <c r="AD269" s="35"/>
      <c r="AE269" s="35"/>
      <c r="AF269" s="35"/>
      <c r="AG269" s="35"/>
      <c r="AH269" s="35"/>
      <c r="AI269" s="35"/>
      <c r="AJ269" s="35"/>
      <c r="AK269" s="35"/>
      <c r="AL269" s="35"/>
      <c r="AM269" s="35"/>
      <c r="AN269" s="36"/>
      <c r="AO269" s="36"/>
      <c r="AP269" s="36"/>
      <c r="AQ269" s="36"/>
      <c r="AR269" s="36"/>
      <c r="AS269" s="36"/>
      <c r="AT269" s="36"/>
      <c r="AU269" s="36"/>
      <c r="AV269" s="36"/>
      <c r="AW269" s="36"/>
      <c r="AX269" s="36"/>
      <c r="AY269" s="36"/>
      <c r="AZ269" s="36"/>
      <c r="BA269" s="36"/>
      <c r="BB269" s="36"/>
      <c r="BC269" s="36"/>
      <c r="BD269" s="36"/>
      <c r="BE269" s="36"/>
    </row>
    <row r="270" spans="2:57" s="289" customFormat="1" ht="18" x14ac:dyDescent="0.2">
      <c r="B270" s="286" t="s">
        <v>676</v>
      </c>
      <c r="C270" s="287"/>
      <c r="D270" s="288"/>
      <c r="G270" s="287"/>
      <c r="H270" s="288"/>
      <c r="K270" s="287"/>
      <c r="L270" s="287"/>
      <c r="M270" s="288"/>
      <c r="N270" s="288"/>
      <c r="O270" s="291"/>
      <c r="P270" s="311"/>
      <c r="Q270" s="295"/>
      <c r="R270" s="289" t="str">
        <f>IF(OR(ISNUMBER(#REF!),ISNUMBER(#REF!),ISNUMBER(#REF!),ISNUMBER(#REF!),ISNUMBER(#REF!)),SUM(#REF!,#REF!,#REF!,#REF!,#REF!),"")</f>
        <v/>
      </c>
      <c r="S270" s="294"/>
      <c r="T270" s="294"/>
      <c r="U270" s="294"/>
      <c r="V270" s="294"/>
      <c r="W270" s="294"/>
      <c r="X270" s="294"/>
      <c r="Y270" s="294"/>
      <c r="Z270" s="294"/>
      <c r="AA270" s="294"/>
      <c r="AB270" s="294"/>
      <c r="AC270" s="294"/>
      <c r="AD270" s="294"/>
      <c r="AE270" s="294"/>
      <c r="AF270" s="294"/>
      <c r="AG270" s="294"/>
      <c r="AH270" s="294"/>
      <c r="AI270" s="294"/>
      <c r="AJ270" s="294"/>
      <c r="AK270" s="294"/>
      <c r="AL270" s="294"/>
      <c r="AM270" s="294"/>
      <c r="AN270" s="295"/>
      <c r="AO270" s="295"/>
      <c r="AP270" s="295"/>
      <c r="AQ270" s="295"/>
      <c r="AR270" s="295"/>
      <c r="AS270" s="295"/>
      <c r="AT270" s="295"/>
      <c r="AU270" s="295"/>
      <c r="AV270" s="295"/>
      <c r="AW270" s="295"/>
      <c r="AX270" s="295"/>
      <c r="AY270" s="295"/>
      <c r="AZ270" s="295"/>
      <c r="BA270" s="295"/>
      <c r="BB270" s="295"/>
      <c r="BC270" s="295"/>
      <c r="BD270" s="295"/>
      <c r="BE270" s="295"/>
    </row>
    <row r="271" spans="2:57" s="30" customFormat="1" ht="15.75" x14ac:dyDescent="0.2">
      <c r="B271" s="8"/>
      <c r="C271" s="33"/>
      <c r="D271" s="81"/>
      <c r="E271" s="33"/>
      <c r="F271" s="33"/>
      <c r="G271" s="37"/>
      <c r="H271" s="81"/>
      <c r="J271" s="32"/>
      <c r="K271" s="37"/>
      <c r="L271" s="37"/>
      <c r="M271" s="83"/>
      <c r="N271" s="83"/>
      <c r="O271" s="83"/>
      <c r="P271" s="37"/>
      <c r="Q271" s="34"/>
      <c r="R271" s="102"/>
      <c r="S271" s="35"/>
      <c r="T271" s="35"/>
      <c r="U271" s="35"/>
      <c r="V271" s="43"/>
      <c r="W271" s="35"/>
      <c r="X271" s="43"/>
      <c r="Y271" s="43"/>
      <c r="Z271" s="43"/>
      <c r="AA271" s="43"/>
      <c r="AB271" s="43"/>
      <c r="AC271" s="43"/>
      <c r="AD271" s="43"/>
      <c r="AE271" s="43"/>
      <c r="AF271" s="43"/>
      <c r="AG271" s="43"/>
      <c r="AH271" s="43"/>
      <c r="AI271" s="35"/>
      <c r="AJ271" s="35"/>
      <c r="AK271" s="35"/>
      <c r="AL271" s="35"/>
      <c r="AM271" s="35"/>
      <c r="AN271" s="36"/>
      <c r="AO271" s="36"/>
      <c r="AP271" s="36"/>
      <c r="AQ271" s="36"/>
      <c r="AR271" s="36"/>
      <c r="AS271" s="36"/>
      <c r="AT271" s="36"/>
      <c r="AU271" s="36"/>
      <c r="AV271" s="36"/>
      <c r="AW271" s="36"/>
      <c r="AX271" s="36"/>
      <c r="AY271" s="36"/>
      <c r="AZ271" s="36"/>
      <c r="BA271" s="36"/>
      <c r="BB271" s="36"/>
      <c r="BC271" s="36"/>
      <c r="BD271" s="36"/>
      <c r="BE271" s="36"/>
    </row>
    <row r="272" spans="2:57" s="30" customFormat="1" ht="15" x14ac:dyDescent="0.2">
      <c r="B272" s="151" t="s">
        <v>0</v>
      </c>
      <c r="C272" s="33" t="s">
        <v>50</v>
      </c>
      <c r="D272" s="81"/>
      <c r="E272" s="33"/>
      <c r="F272" s="33"/>
      <c r="G272" s="37" t="s">
        <v>183</v>
      </c>
      <c r="H272" s="81"/>
      <c r="J272" s="32"/>
      <c r="K272" s="37" t="s">
        <v>297</v>
      </c>
      <c r="L272" s="37" t="s">
        <v>185</v>
      </c>
      <c r="M272" s="83"/>
      <c r="N272" s="83"/>
      <c r="O272" s="249" t="s">
        <v>584</v>
      </c>
      <c r="P272" s="37"/>
      <c r="Q272" s="34"/>
      <c r="R272" s="43" t="s">
        <v>318</v>
      </c>
      <c r="S272" s="35"/>
      <c r="T272" s="35" t="s">
        <v>400</v>
      </c>
      <c r="U272" s="35" t="s">
        <v>399</v>
      </c>
      <c r="V272" s="43" t="s">
        <v>397</v>
      </c>
      <c r="W272" s="35" t="s">
        <v>398</v>
      </c>
      <c r="X272" s="43" t="s">
        <v>401</v>
      </c>
      <c r="Y272" s="43" t="s">
        <v>403</v>
      </c>
      <c r="Z272" s="43" t="s">
        <v>402</v>
      </c>
      <c r="AA272" s="43" t="s">
        <v>186</v>
      </c>
      <c r="AB272" s="43" t="s">
        <v>345</v>
      </c>
      <c r="AC272" s="43" t="s">
        <v>404</v>
      </c>
      <c r="AD272" s="43" t="s">
        <v>346</v>
      </c>
      <c r="AE272" s="43" t="s">
        <v>405</v>
      </c>
      <c r="AF272" s="43" t="s">
        <v>406</v>
      </c>
      <c r="AG272" s="43" t="s">
        <v>578</v>
      </c>
      <c r="AH272" s="35" t="s">
        <v>190</v>
      </c>
      <c r="AI272" s="35" t="s">
        <v>249</v>
      </c>
      <c r="AJ272" s="35" t="s">
        <v>191</v>
      </c>
      <c r="AK272" s="104"/>
      <c r="AL272" s="35"/>
      <c r="AM272" s="35"/>
      <c r="AN272" s="36"/>
      <c r="AO272" s="36"/>
      <c r="AP272" s="36"/>
      <c r="AQ272" s="36"/>
      <c r="AR272" s="36"/>
      <c r="AS272" s="36"/>
      <c r="AT272" s="36"/>
      <c r="AU272" s="36"/>
      <c r="AV272" s="36"/>
      <c r="AW272" s="36"/>
      <c r="AX272" s="36"/>
      <c r="AY272" s="36"/>
      <c r="AZ272" s="36"/>
      <c r="BA272" s="36"/>
      <c r="BB272" s="36"/>
      <c r="BC272" s="36"/>
      <c r="BD272" s="36"/>
      <c r="BE272" s="36"/>
    </row>
    <row r="273" spans="2:57" s="30" customFormat="1" ht="30" x14ac:dyDescent="0.2">
      <c r="B273" s="166" t="s">
        <v>501</v>
      </c>
      <c r="C273" s="156"/>
      <c r="D273" s="86" t="s">
        <v>52</v>
      </c>
      <c r="E273" s="57"/>
      <c r="F273" s="55"/>
      <c r="G273" s="157"/>
      <c r="H273" s="81" t="str">
        <f>IF(D273="t","","t/m3")</f>
        <v/>
      </c>
      <c r="J273" s="169" t="s">
        <v>395</v>
      </c>
      <c r="K273" s="92" t="str">
        <f>IFERROR(IF(ISNUMBER(L273),L273,(VLOOKUP(C274,Kalusto!$C$45:$G$84,5,FALSE)*VLOOKUP(C275,Muut!$D$40:$E$43,2,FALSE))),"--")</f>
        <v>--</v>
      </c>
      <c r="L273" s="39"/>
      <c r="M273" s="40" t="s">
        <v>184</v>
      </c>
      <c r="N273" s="40"/>
      <c r="O273" s="250"/>
      <c r="Q273" s="45"/>
      <c r="R273" s="48" t="str">
        <f>IF(AND(NOT(ISNUMBER(AB273)),NOT(ISNUMBER(AG273))),"",IF(ISNUMBER(AB273),AB273,0)+IF(ISNUMBER(AG273),AG273,0))</f>
        <v/>
      </c>
      <c r="S273" s="98" t="s">
        <v>160</v>
      </c>
      <c r="T273" s="46" t="str">
        <f>IFERROR(IF(ISNUMBER(L273),"Kohdetieto",VLOOKUP(C274,Kalusto!$C$45:$L$84,7,FALSE)),"--")</f>
        <v>--</v>
      </c>
      <c r="U273" s="46" t="str">
        <f>IFERROR(IF(ISNUMBER(L273),"Kohdetieto",VLOOKUP(C274,Kalusto!$C$45:$L$84,8,FALSE)),"--")</f>
        <v>--</v>
      </c>
      <c r="V273" s="47" t="str">
        <f>IFERROR(IF(ISNUMBER(L273),"Kohdetieto",VLOOKUP(C274,Kalusto!$C$45:$L$84,9,FALSE)),"--")</f>
        <v>--</v>
      </c>
      <c r="W273" s="47" t="str">
        <f>IFERROR(IF(ISNUMBER(L273),"Kohdetieto",VLOOKUP(C274,Kalusto!$C$45:$L$84,10,FALSE)),"--")</f>
        <v>--</v>
      </c>
      <c r="X273" s="48" t="str">
        <f>IF(ISBLANK(C273),"",IF(D273="t",C273,C273*G273))</f>
        <v/>
      </c>
      <c r="Y273" s="46" t="str">
        <f>IF(ISNUMBER(C276),C276,"")</f>
        <v/>
      </c>
      <c r="Z273" s="48" t="str">
        <f>IF(ISNUMBER(X273/(U273*V273)*Y273),X273/(U273*V273)*Y273,"")</f>
        <v/>
      </c>
      <c r="AA273" s="49" t="str">
        <f>IF(ISNUMBER(L273),L273,K273)</f>
        <v>--</v>
      </c>
      <c r="AB273" s="48" t="str">
        <f>IF(ISNUMBER(Y273*X273*K273),Y273*X273*K273,"")</f>
        <v/>
      </c>
      <c r="AC273" s="48" t="str">
        <f>IF(ISNUMBER(Y273),Y273,"")</f>
        <v/>
      </c>
      <c r="AD273" s="48" t="str">
        <f>IF(ISNUMBER(X273),IF(ISNUMBER(X273/(U273*V273)),CEILING(X273/(U273*V273),1),""),"")</f>
        <v/>
      </c>
      <c r="AE273" s="48" t="str">
        <f>IF(ISNUMBER(AD273*AC273),AD273*AC273,"")</f>
        <v/>
      </c>
      <c r="AF273" s="49" t="str">
        <f>IF(ISNUMBER(L274),L274,K274)</f>
        <v>--</v>
      </c>
      <c r="AG273" s="48" t="str">
        <f>IF(ISNUMBER(AC273*AD273*K274),AC273*AD273*K274,"")</f>
        <v/>
      </c>
      <c r="AH273" s="46">
        <f>IF(T273="Jakelukuorma-auto",0,IF(T273="Maansiirtoauto",4,IF(T273="Puoliperävaunu",6,8)))</f>
        <v>8</v>
      </c>
      <c r="AI273" s="46">
        <f>IF(AND(T273="Jakelukuorma-auto",U273=6),0,IF(AND(T273="Jakelukuorma-auto",U273=15),2,0))</f>
        <v>0</v>
      </c>
      <c r="AJ273" s="46">
        <f>IF(W273="maantieajo",0,1)</f>
        <v>1</v>
      </c>
      <c r="AK273" s="104"/>
      <c r="AL273" s="35"/>
      <c r="AM273" s="35"/>
      <c r="AN273" s="36"/>
      <c r="AO273" s="36"/>
      <c r="AP273" s="36"/>
      <c r="AQ273" s="36"/>
      <c r="AR273" s="36"/>
      <c r="AS273" s="36"/>
      <c r="AT273" s="36"/>
      <c r="AU273" s="36"/>
      <c r="AV273" s="36"/>
      <c r="AW273" s="36"/>
      <c r="AX273" s="36"/>
      <c r="AY273" s="36"/>
      <c r="AZ273" s="36"/>
      <c r="BA273" s="36"/>
      <c r="BB273" s="36"/>
      <c r="BC273" s="36"/>
      <c r="BD273" s="36"/>
      <c r="BE273" s="36"/>
    </row>
    <row r="274" spans="2:57" s="30" customFormat="1" ht="30" x14ac:dyDescent="0.2">
      <c r="B274" s="166" t="s">
        <v>499</v>
      </c>
      <c r="C274" s="471" t="s">
        <v>298</v>
      </c>
      <c r="D274" s="472"/>
      <c r="E274" s="472"/>
      <c r="F274" s="472"/>
      <c r="G274" s="473"/>
      <c r="J274" s="32" t="s">
        <v>396</v>
      </c>
      <c r="K274" s="92" t="str">
        <f>IFERROR(IF(ISNUMBER(L274),L274,(VLOOKUP(C274,Kalusto!$C$45:$V$84,19,FALSE)*(VLOOKUP(C275,Muut!$D$40:$E$43,2,FALSE)))),"--")</f>
        <v>--</v>
      </c>
      <c r="L274" s="39"/>
      <c r="M274" s="40" t="s">
        <v>188</v>
      </c>
      <c r="N274" s="40"/>
      <c r="O274" s="259"/>
      <c r="P274" s="33"/>
      <c r="Q274" s="50"/>
      <c r="R274" s="35"/>
      <c r="S274" s="35"/>
      <c r="T274" s="35"/>
      <c r="U274" s="35"/>
      <c r="V274" s="35"/>
      <c r="W274" s="35"/>
      <c r="X274" s="35"/>
      <c r="Y274" s="35"/>
      <c r="Z274" s="35"/>
      <c r="AA274" s="35"/>
      <c r="AB274" s="35"/>
      <c r="AC274" s="35"/>
      <c r="AD274" s="35"/>
      <c r="AE274" s="35"/>
      <c r="AF274" s="35"/>
      <c r="AG274" s="35"/>
      <c r="AH274" s="35"/>
      <c r="AI274" s="35"/>
      <c r="AJ274" s="35"/>
      <c r="AK274" s="104"/>
      <c r="AL274" s="35"/>
      <c r="AM274" s="35"/>
      <c r="AN274" s="36"/>
      <c r="AO274" s="36"/>
      <c r="AP274" s="36"/>
      <c r="AQ274" s="36"/>
      <c r="AR274" s="36"/>
      <c r="AS274" s="36"/>
      <c r="AT274" s="36"/>
      <c r="AU274" s="36"/>
      <c r="AV274" s="36"/>
      <c r="AW274" s="36"/>
      <c r="AX274" s="36"/>
      <c r="AY274" s="36"/>
      <c r="AZ274" s="36"/>
      <c r="BA274" s="36"/>
      <c r="BB274" s="36"/>
      <c r="BC274" s="36"/>
      <c r="BD274" s="36"/>
      <c r="BE274" s="36"/>
    </row>
    <row r="275" spans="2:57" s="30" customFormat="1" ht="15" x14ac:dyDescent="0.2">
      <c r="B275" s="182" t="s">
        <v>457</v>
      </c>
      <c r="C275" s="156" t="s">
        <v>309</v>
      </c>
      <c r="D275" s="33"/>
      <c r="E275" s="33"/>
      <c r="F275" s="33"/>
      <c r="G275" s="33"/>
      <c r="H275" s="57"/>
      <c r="J275" s="169"/>
      <c r="K275" s="169"/>
      <c r="L275" s="169"/>
      <c r="M275" s="40"/>
      <c r="N275" s="40"/>
      <c r="O275" s="259"/>
      <c r="Q275" s="45"/>
      <c r="R275" s="98"/>
      <c r="S275" s="98"/>
      <c r="T275" s="35"/>
      <c r="U275" s="35"/>
      <c r="V275" s="177"/>
      <c r="W275" s="177"/>
      <c r="X275" s="59"/>
      <c r="Y275" s="35"/>
      <c r="Z275" s="59"/>
      <c r="AA275" s="178"/>
      <c r="AB275" s="59"/>
      <c r="AC275" s="59"/>
      <c r="AD275" s="59"/>
      <c r="AE275" s="59"/>
      <c r="AF275" s="178"/>
      <c r="AG275" s="59"/>
      <c r="AH275" s="35"/>
      <c r="AI275" s="35"/>
      <c r="AJ275" s="35"/>
      <c r="AK275" s="104"/>
      <c r="AL275" s="35"/>
      <c r="AM275" s="35"/>
      <c r="AN275" s="36"/>
      <c r="AO275" s="36"/>
      <c r="AP275" s="36"/>
      <c r="AQ275" s="36"/>
      <c r="AR275" s="36"/>
      <c r="AS275" s="36"/>
      <c r="AT275" s="36"/>
      <c r="AU275" s="36"/>
      <c r="AV275" s="36"/>
      <c r="AW275" s="36"/>
      <c r="AX275" s="36"/>
      <c r="AY275" s="36"/>
      <c r="AZ275" s="36"/>
      <c r="BA275" s="36"/>
      <c r="BB275" s="36"/>
      <c r="BC275" s="36"/>
      <c r="BD275" s="36"/>
      <c r="BE275" s="36"/>
    </row>
    <row r="276" spans="2:57" s="30" customFormat="1" ht="15" x14ac:dyDescent="0.2">
      <c r="B276" s="44" t="s">
        <v>498</v>
      </c>
      <c r="C276" s="156"/>
      <c r="D276" s="81" t="s">
        <v>5</v>
      </c>
      <c r="G276" s="33"/>
      <c r="H276" s="52"/>
      <c r="I276" s="51"/>
      <c r="J276" s="51"/>
      <c r="K276" s="33"/>
      <c r="L276" s="33"/>
      <c r="M276" s="81"/>
      <c r="N276" s="81"/>
      <c r="O276" s="96"/>
      <c r="P276" s="51"/>
      <c r="Q276" s="50"/>
      <c r="R276" s="35"/>
      <c r="S276" s="35"/>
      <c r="T276" s="35"/>
      <c r="U276" s="35"/>
      <c r="V276" s="35"/>
      <c r="W276" s="35"/>
      <c r="X276" s="35"/>
      <c r="Y276" s="35"/>
      <c r="Z276" s="35"/>
      <c r="AA276" s="35"/>
      <c r="AB276" s="35"/>
      <c r="AC276" s="35"/>
      <c r="AD276" s="35"/>
      <c r="AE276" s="35"/>
      <c r="AF276" s="35"/>
      <c r="AG276" s="35"/>
      <c r="AH276" s="35"/>
      <c r="AI276" s="35"/>
      <c r="AJ276" s="35"/>
      <c r="AK276" s="104"/>
      <c r="AL276" s="35"/>
      <c r="AM276" s="35"/>
      <c r="AN276" s="36"/>
      <c r="AO276" s="36"/>
      <c r="AP276" s="36"/>
      <c r="AQ276" s="36"/>
      <c r="AR276" s="36"/>
      <c r="AS276" s="36"/>
      <c r="AT276" s="36"/>
      <c r="AU276" s="36"/>
      <c r="AV276" s="36"/>
      <c r="AW276" s="36"/>
      <c r="AX276" s="36"/>
      <c r="AY276" s="36"/>
      <c r="AZ276" s="36"/>
      <c r="BA276" s="36"/>
      <c r="BB276" s="36"/>
      <c r="BC276" s="36"/>
      <c r="BD276" s="36"/>
      <c r="BE276" s="36"/>
    </row>
    <row r="277" spans="2:57" s="30" customFormat="1" ht="15" x14ac:dyDescent="0.2">
      <c r="B277" s="151" t="s">
        <v>1</v>
      </c>
      <c r="C277" s="33"/>
      <c r="D277" s="81"/>
      <c r="E277" s="33"/>
      <c r="F277" s="33"/>
      <c r="G277" s="37"/>
      <c r="H277" s="81"/>
      <c r="J277" s="32"/>
      <c r="K277" s="37" t="s">
        <v>297</v>
      </c>
      <c r="L277" s="37" t="s">
        <v>185</v>
      </c>
      <c r="M277" s="81"/>
      <c r="N277" s="81"/>
      <c r="O277" s="96"/>
      <c r="P277" s="33"/>
      <c r="Q277" s="34"/>
      <c r="R277" s="43" t="s">
        <v>318</v>
      </c>
      <c r="S277" s="35"/>
      <c r="T277" s="35" t="s">
        <v>400</v>
      </c>
      <c r="U277" s="35" t="s">
        <v>399</v>
      </c>
      <c r="V277" s="43" t="s">
        <v>397</v>
      </c>
      <c r="W277" s="35" t="s">
        <v>398</v>
      </c>
      <c r="X277" s="43" t="s">
        <v>401</v>
      </c>
      <c r="Y277" s="43" t="s">
        <v>403</v>
      </c>
      <c r="Z277" s="43" t="s">
        <v>402</v>
      </c>
      <c r="AA277" s="43" t="s">
        <v>186</v>
      </c>
      <c r="AB277" s="43" t="s">
        <v>345</v>
      </c>
      <c r="AC277" s="43" t="s">
        <v>404</v>
      </c>
      <c r="AD277" s="43" t="s">
        <v>346</v>
      </c>
      <c r="AE277" s="43" t="s">
        <v>405</v>
      </c>
      <c r="AF277" s="43" t="s">
        <v>406</v>
      </c>
      <c r="AG277" s="43" t="s">
        <v>578</v>
      </c>
      <c r="AH277" s="35" t="s">
        <v>190</v>
      </c>
      <c r="AI277" s="35" t="s">
        <v>249</v>
      </c>
      <c r="AJ277" s="35" t="s">
        <v>191</v>
      </c>
      <c r="AK277" s="104"/>
      <c r="AL277" s="35"/>
      <c r="AM277" s="35"/>
      <c r="AN277" s="36"/>
      <c r="AO277" s="36"/>
      <c r="AP277" s="36"/>
      <c r="AQ277" s="36"/>
      <c r="AR277" s="36"/>
      <c r="AS277" s="36"/>
      <c r="AT277" s="36"/>
      <c r="AU277" s="36"/>
      <c r="AV277" s="36"/>
      <c r="AW277" s="36"/>
      <c r="AX277" s="36"/>
      <c r="AY277" s="36"/>
      <c r="AZ277" s="36"/>
      <c r="BA277" s="36"/>
      <c r="BB277" s="36"/>
      <c r="BC277" s="36"/>
      <c r="BD277" s="36"/>
      <c r="BE277" s="36"/>
    </row>
    <row r="278" spans="2:57" s="30" customFormat="1" ht="30" x14ac:dyDescent="0.2">
      <c r="B278" s="166" t="s">
        <v>501</v>
      </c>
      <c r="C278" s="156"/>
      <c r="D278" s="86" t="s">
        <v>52</v>
      </c>
      <c r="E278" s="57"/>
      <c r="F278" s="55"/>
      <c r="G278" s="157"/>
      <c r="H278" s="81" t="str">
        <f>IF(D278="t","","t/m3")</f>
        <v/>
      </c>
      <c r="J278" s="169" t="s">
        <v>395</v>
      </c>
      <c r="K278" s="92" t="str">
        <f>IFERROR(IF(ISNUMBER(L278),L278,(VLOOKUP(C279,Kalusto!$C$45:$G$84,5,FALSE)*VLOOKUP(C280,Muut!$D$40:$E$43,2,FALSE))),"--")</f>
        <v>--</v>
      </c>
      <c r="L278" s="39"/>
      <c r="M278" s="40" t="s">
        <v>184</v>
      </c>
      <c r="N278" s="40"/>
      <c r="O278" s="259"/>
      <c r="Q278" s="45"/>
      <c r="R278" s="48" t="str">
        <f>IF(AND(NOT(ISNUMBER(AB278)),NOT(ISNUMBER(AG278))),"",IF(ISNUMBER(AB278),AB278,0)+IF(ISNUMBER(AG278),AG278,0))</f>
        <v/>
      </c>
      <c r="S278" s="98" t="s">
        <v>160</v>
      </c>
      <c r="T278" s="46" t="str">
        <f>IFERROR(IF(ISNUMBER(L278),"Kohdetieto",VLOOKUP(C279,Kalusto!$C$45:$L$84,7,FALSE)),"--")</f>
        <v>--</v>
      </c>
      <c r="U278" s="46" t="str">
        <f>IFERROR(IF(ISNUMBER(L278),"Kohdetieto",VLOOKUP(C279,Kalusto!$C$45:$L$84,8,FALSE)),"--")</f>
        <v>--</v>
      </c>
      <c r="V278" s="47" t="str">
        <f>IFERROR(IF(ISNUMBER(L278),"Kohdetieto",VLOOKUP(C279,Kalusto!$C$45:$L$84,9,FALSE)),"--")</f>
        <v>--</v>
      </c>
      <c r="W278" s="47" t="str">
        <f>IFERROR(IF(ISNUMBER(L278),"Kohdetieto",VLOOKUP(C279,Kalusto!$C$45:$L$84,10,FALSE)),"--")</f>
        <v>--</v>
      </c>
      <c r="X278" s="48" t="str">
        <f>IF(ISBLANK(C278),"",IF(D278="t",C278,C278*G278))</f>
        <v/>
      </c>
      <c r="Y278" s="46" t="str">
        <f>IF(ISNUMBER(C281),C281,"")</f>
        <v/>
      </c>
      <c r="Z278" s="48" t="str">
        <f>IF(ISNUMBER(X278/(U278*V278)*Y278),X278/(U278*V278)*Y278,"")</f>
        <v/>
      </c>
      <c r="AA278" s="49" t="str">
        <f>IF(ISNUMBER(L278),L278,K278)</f>
        <v>--</v>
      </c>
      <c r="AB278" s="48" t="str">
        <f>IF(ISNUMBER(Y278*X278*K278),Y278*X278*K278,"")</f>
        <v/>
      </c>
      <c r="AC278" s="48" t="str">
        <f>IF(ISNUMBER(Y278),Y278,"")</f>
        <v/>
      </c>
      <c r="AD278" s="48" t="str">
        <f>IF(ISNUMBER(X278),IF(ISNUMBER(X278/(U278*V278)),CEILING(X278/(U278*V278),1),""),"")</f>
        <v/>
      </c>
      <c r="AE278" s="48" t="str">
        <f>IF(ISNUMBER(AD278*AC278),AD278*AC278,"")</f>
        <v/>
      </c>
      <c r="AF278" s="49" t="str">
        <f>IF(ISNUMBER(L279),L279,K279)</f>
        <v>--</v>
      </c>
      <c r="AG278" s="48" t="str">
        <f>IF(ISNUMBER(AC278*AD278*K279),AC278*AD278*K279,"")</f>
        <v/>
      </c>
      <c r="AH278" s="46">
        <f>IF(T278="Jakelukuorma-auto",0,IF(T278="Maansiirtoauto",4,IF(T278="Puoliperävaunu",6,8)))</f>
        <v>8</v>
      </c>
      <c r="AI278" s="46">
        <f>IF(AND(T278="Jakelukuorma-auto",U278=6),0,IF(AND(T278="Jakelukuorma-auto",U278=15),2,0))</f>
        <v>0</v>
      </c>
      <c r="AJ278" s="46">
        <f>IF(W278="maantieajo",0,1)</f>
        <v>1</v>
      </c>
      <c r="AK278" s="104"/>
      <c r="AL278" s="35"/>
      <c r="AM278" s="35"/>
      <c r="AN278" s="36"/>
      <c r="AO278" s="36"/>
      <c r="AP278" s="36"/>
      <c r="AQ278" s="36"/>
      <c r="AR278" s="36"/>
      <c r="AS278" s="36"/>
      <c r="AT278" s="36"/>
      <c r="AU278" s="36"/>
      <c r="AV278" s="36"/>
      <c r="AW278" s="36"/>
      <c r="AX278" s="36"/>
      <c r="AY278" s="36"/>
      <c r="AZ278" s="36"/>
      <c r="BA278" s="36"/>
      <c r="BB278" s="36"/>
      <c r="BC278" s="36"/>
      <c r="BD278" s="36"/>
      <c r="BE278" s="36"/>
    </row>
    <row r="279" spans="2:57" s="30" customFormat="1" ht="30" x14ac:dyDescent="0.2">
      <c r="B279" s="166" t="s">
        <v>499</v>
      </c>
      <c r="C279" s="471" t="s">
        <v>298</v>
      </c>
      <c r="D279" s="472"/>
      <c r="E279" s="472"/>
      <c r="F279" s="472"/>
      <c r="G279" s="473"/>
      <c r="H279" s="30" t="s">
        <v>187</v>
      </c>
      <c r="J279" s="32" t="s">
        <v>396</v>
      </c>
      <c r="K279" s="92" t="str">
        <f>IFERROR(IF(ISNUMBER(L279),L279,(VLOOKUP(C279,Kalusto!$C$45:$V$84,19,FALSE)*(VLOOKUP(C280,Muut!$D$40:$E$43,2,FALSE)))),"--")</f>
        <v>--</v>
      </c>
      <c r="L279" s="39"/>
      <c r="M279" s="40" t="s">
        <v>188</v>
      </c>
      <c r="N279" s="40"/>
      <c r="O279" s="259"/>
      <c r="P279" s="33"/>
      <c r="Q279" s="50"/>
      <c r="R279" s="35"/>
      <c r="S279" s="35"/>
      <c r="T279" s="35"/>
      <c r="U279" s="35"/>
      <c r="V279" s="35"/>
      <c r="W279" s="35"/>
      <c r="X279" s="35"/>
      <c r="Y279" s="35"/>
      <c r="Z279" s="35"/>
      <c r="AA279" s="35"/>
      <c r="AB279" s="35"/>
      <c r="AC279" s="35"/>
      <c r="AD279" s="35"/>
      <c r="AE279" s="35"/>
      <c r="AF279" s="35"/>
      <c r="AG279" s="35"/>
      <c r="AH279" s="35"/>
      <c r="AI279" s="35"/>
      <c r="AJ279" s="35"/>
      <c r="AK279" s="104"/>
      <c r="AL279" s="35"/>
      <c r="AM279" s="35"/>
      <c r="AN279" s="36"/>
      <c r="AO279" s="36"/>
      <c r="AP279" s="36"/>
      <c r="AQ279" s="36"/>
      <c r="AR279" s="36"/>
      <c r="AS279" s="36"/>
      <c r="AT279" s="36"/>
      <c r="AU279" s="36"/>
      <c r="AV279" s="36"/>
      <c r="AW279" s="36"/>
      <c r="AX279" s="36"/>
      <c r="AY279" s="36"/>
      <c r="AZ279" s="36"/>
      <c r="BA279" s="36"/>
      <c r="BB279" s="36"/>
      <c r="BC279" s="36"/>
      <c r="BD279" s="36"/>
      <c r="BE279" s="36"/>
    </row>
    <row r="280" spans="2:57" s="30" customFormat="1" ht="15" x14ac:dyDescent="0.2">
      <c r="B280" s="182" t="s">
        <v>457</v>
      </c>
      <c r="C280" s="156" t="s">
        <v>309</v>
      </c>
      <c r="D280" s="33"/>
      <c r="E280" s="33"/>
      <c r="F280" s="33"/>
      <c r="G280" s="33"/>
      <c r="H280" s="57"/>
      <c r="J280" s="169"/>
      <c r="K280" s="169"/>
      <c r="L280" s="169"/>
      <c r="M280" s="40"/>
      <c r="N280" s="40"/>
      <c r="O280" s="259"/>
      <c r="Q280" s="45"/>
      <c r="R280" s="98"/>
      <c r="S280" s="98"/>
      <c r="T280" s="35"/>
      <c r="U280" s="35"/>
      <c r="V280" s="177"/>
      <c r="W280" s="177"/>
      <c r="X280" s="59"/>
      <c r="Y280" s="35"/>
      <c r="Z280" s="59"/>
      <c r="AA280" s="178"/>
      <c r="AB280" s="59"/>
      <c r="AC280" s="59"/>
      <c r="AD280" s="59"/>
      <c r="AE280" s="59"/>
      <c r="AF280" s="178"/>
      <c r="AG280" s="59"/>
      <c r="AH280" s="35"/>
      <c r="AI280" s="35"/>
      <c r="AJ280" s="35"/>
      <c r="AK280" s="104"/>
      <c r="AL280" s="35"/>
      <c r="AM280" s="35"/>
      <c r="AN280" s="36"/>
      <c r="AO280" s="36"/>
      <c r="AP280" s="36"/>
      <c r="AQ280" s="36"/>
      <c r="AR280" s="36"/>
      <c r="AS280" s="36"/>
      <c r="AT280" s="36"/>
      <c r="AU280" s="36"/>
      <c r="AV280" s="36"/>
      <c r="AW280" s="36"/>
      <c r="AX280" s="36"/>
      <c r="AY280" s="36"/>
      <c r="AZ280" s="36"/>
      <c r="BA280" s="36"/>
      <c r="BB280" s="36"/>
      <c r="BC280" s="36"/>
      <c r="BD280" s="36"/>
      <c r="BE280" s="36"/>
    </row>
    <row r="281" spans="2:57" s="30" customFormat="1" ht="15" x14ac:dyDescent="0.2">
      <c r="B281" s="44" t="s">
        <v>498</v>
      </c>
      <c r="C281" s="156"/>
      <c r="D281" s="81" t="s">
        <v>5</v>
      </c>
      <c r="G281" s="33"/>
      <c r="H281" s="52"/>
      <c r="I281" s="51"/>
      <c r="J281" s="51"/>
      <c r="K281" s="33"/>
      <c r="L281" s="33"/>
      <c r="M281" s="81"/>
      <c r="N281" s="81"/>
      <c r="O281" s="96"/>
      <c r="P281" s="51"/>
      <c r="Q281" s="50"/>
      <c r="R281" s="35"/>
      <c r="S281" s="35"/>
      <c r="T281" s="35"/>
      <c r="U281" s="35"/>
      <c r="V281" s="35"/>
      <c r="W281" s="35"/>
      <c r="X281" s="35"/>
      <c r="Y281" s="35"/>
      <c r="Z281" s="35"/>
      <c r="AA281" s="35"/>
      <c r="AB281" s="35"/>
      <c r="AC281" s="35"/>
      <c r="AD281" s="35"/>
      <c r="AE281" s="35"/>
      <c r="AF281" s="35"/>
      <c r="AG281" s="35"/>
      <c r="AH281" s="35"/>
      <c r="AI281" s="35"/>
      <c r="AJ281" s="35"/>
      <c r="AK281" s="104"/>
      <c r="AL281" s="35"/>
      <c r="AM281" s="35"/>
      <c r="AN281" s="36"/>
      <c r="AO281" s="36"/>
      <c r="AP281" s="36"/>
      <c r="AQ281" s="36"/>
      <c r="AR281" s="36"/>
      <c r="AS281" s="36"/>
      <c r="AT281" s="36"/>
      <c r="AU281" s="36"/>
      <c r="AV281" s="36"/>
      <c r="AW281" s="36"/>
      <c r="AX281" s="36"/>
      <c r="AY281" s="36"/>
      <c r="AZ281" s="36"/>
      <c r="BA281" s="36"/>
      <c r="BB281" s="36"/>
      <c r="BC281" s="36"/>
      <c r="BD281" s="36"/>
      <c r="BE281" s="36"/>
    </row>
    <row r="282" spans="2:57" s="30" customFormat="1" ht="15" x14ac:dyDescent="0.2">
      <c r="B282" s="151" t="s">
        <v>2</v>
      </c>
      <c r="C282" s="33"/>
      <c r="D282" s="81"/>
      <c r="E282" s="33"/>
      <c r="F282" s="33"/>
      <c r="G282" s="37"/>
      <c r="H282" s="81"/>
      <c r="J282" s="32"/>
      <c r="K282" s="37" t="s">
        <v>297</v>
      </c>
      <c r="L282" s="37" t="s">
        <v>185</v>
      </c>
      <c r="M282" s="81"/>
      <c r="N282" s="81"/>
      <c r="O282" s="96"/>
      <c r="P282" s="33"/>
      <c r="Q282" s="34"/>
      <c r="R282" s="43" t="s">
        <v>318</v>
      </c>
      <c r="S282" s="35"/>
      <c r="T282" s="35" t="s">
        <v>400</v>
      </c>
      <c r="U282" s="35" t="s">
        <v>399</v>
      </c>
      <c r="V282" s="43" t="s">
        <v>397</v>
      </c>
      <c r="W282" s="35" t="s">
        <v>398</v>
      </c>
      <c r="X282" s="43" t="s">
        <v>401</v>
      </c>
      <c r="Y282" s="43" t="s">
        <v>403</v>
      </c>
      <c r="Z282" s="43" t="s">
        <v>402</v>
      </c>
      <c r="AA282" s="43" t="s">
        <v>186</v>
      </c>
      <c r="AB282" s="43" t="s">
        <v>345</v>
      </c>
      <c r="AC282" s="43" t="s">
        <v>404</v>
      </c>
      <c r="AD282" s="43" t="s">
        <v>346</v>
      </c>
      <c r="AE282" s="43" t="s">
        <v>405</v>
      </c>
      <c r="AF282" s="43" t="s">
        <v>406</v>
      </c>
      <c r="AG282" s="43" t="s">
        <v>578</v>
      </c>
      <c r="AH282" s="35" t="s">
        <v>190</v>
      </c>
      <c r="AI282" s="35" t="s">
        <v>249</v>
      </c>
      <c r="AJ282" s="35" t="s">
        <v>191</v>
      </c>
      <c r="AK282" s="104"/>
      <c r="AL282" s="35"/>
      <c r="AM282" s="35"/>
      <c r="AN282" s="36"/>
      <c r="AO282" s="36"/>
      <c r="AP282" s="36"/>
      <c r="AQ282" s="36"/>
      <c r="AR282" s="36"/>
      <c r="AS282" s="36"/>
      <c r="AT282" s="36"/>
      <c r="AU282" s="36"/>
      <c r="AV282" s="36"/>
      <c r="AW282" s="36"/>
      <c r="AX282" s="36"/>
      <c r="AY282" s="36"/>
      <c r="AZ282" s="36"/>
      <c r="BA282" s="36"/>
      <c r="BB282" s="36"/>
      <c r="BC282" s="36"/>
      <c r="BD282" s="36"/>
      <c r="BE282" s="36"/>
    </row>
    <row r="283" spans="2:57" s="30" customFormat="1" ht="30" x14ac:dyDescent="0.2">
      <c r="B283" s="166" t="s">
        <v>501</v>
      </c>
      <c r="C283" s="156"/>
      <c r="D283" s="86" t="s">
        <v>52</v>
      </c>
      <c r="E283" s="57"/>
      <c r="F283" s="55"/>
      <c r="G283" s="157"/>
      <c r="H283" s="81" t="str">
        <f>IF(D283="t","","t/m3")</f>
        <v/>
      </c>
      <c r="J283" s="169" t="s">
        <v>395</v>
      </c>
      <c r="K283" s="92" t="str">
        <f>IFERROR(IF(ISNUMBER(L283),L283,(VLOOKUP(C284,Kalusto!$C$45:$G$84,5,FALSE)*VLOOKUP(C285,Muut!$D$40:$E$43,2,FALSE))),"--")</f>
        <v>--</v>
      </c>
      <c r="L283" s="39"/>
      <c r="M283" s="40" t="s">
        <v>184</v>
      </c>
      <c r="N283" s="40"/>
      <c r="O283" s="259"/>
      <c r="Q283" s="45"/>
      <c r="R283" s="48" t="str">
        <f>IF(AND(NOT(ISNUMBER(AB283)),NOT(ISNUMBER(AG283))),"",IF(ISNUMBER(AB283),AB283,0)+IF(ISNUMBER(AG283),AG283,0))</f>
        <v/>
      </c>
      <c r="S283" s="98" t="s">
        <v>160</v>
      </c>
      <c r="T283" s="46" t="str">
        <f>IFERROR(IF(ISNUMBER(L283),"Kohdetieto",VLOOKUP(C284,Kalusto!$C$45:$L$84,7,FALSE)),"--")</f>
        <v>--</v>
      </c>
      <c r="U283" s="46" t="str">
        <f>IFERROR(IF(ISNUMBER(L283),"Kohdetieto",VLOOKUP(C284,Kalusto!$C$45:$L$84,8,FALSE)),"--")</f>
        <v>--</v>
      </c>
      <c r="V283" s="47" t="str">
        <f>IFERROR(IF(ISNUMBER(L283),"Kohdetieto",VLOOKUP(C284,Kalusto!$C$45:$L$84,9,FALSE)),"--")</f>
        <v>--</v>
      </c>
      <c r="W283" s="47" t="str">
        <f>IFERROR(IF(ISNUMBER(L283),"Kohdetieto",VLOOKUP(C284,Kalusto!$C$45:$L$84,10,FALSE)),"--")</f>
        <v>--</v>
      </c>
      <c r="X283" s="48" t="str">
        <f>IF(ISBLANK(C283),"",IF(D283="t",C283,C283*G283))</f>
        <v/>
      </c>
      <c r="Y283" s="46" t="str">
        <f>IF(ISNUMBER(C286),C286,"")</f>
        <v/>
      </c>
      <c r="Z283" s="48" t="str">
        <f>IF(ISNUMBER(X283/(U283*V283)*Y283),X283/(U283*V283)*Y283,"")</f>
        <v/>
      </c>
      <c r="AA283" s="49" t="str">
        <f>IF(ISNUMBER(L283),L283,K283)</f>
        <v>--</v>
      </c>
      <c r="AB283" s="48" t="str">
        <f>IF(ISNUMBER(Y283*X283*K283),Y283*X283*K283,"")</f>
        <v/>
      </c>
      <c r="AC283" s="48" t="str">
        <f>IF(ISNUMBER(Y283),Y283,"")</f>
        <v/>
      </c>
      <c r="AD283" s="48" t="str">
        <f>IF(ISNUMBER(X283),IF(ISNUMBER(X283/(U283*V283)),CEILING(X283/(U283*V283),1),""),"")</f>
        <v/>
      </c>
      <c r="AE283" s="48" t="str">
        <f>IF(ISNUMBER(AD283*AC283),AD283*AC283,"")</f>
        <v/>
      </c>
      <c r="AF283" s="49" t="str">
        <f>IF(ISNUMBER(L284),L284,K284)</f>
        <v>--</v>
      </c>
      <c r="AG283" s="48" t="str">
        <f>IF(ISNUMBER(AC283*AD283*K284),AC283*AD283*K284,"")</f>
        <v/>
      </c>
      <c r="AH283" s="46">
        <f>IF(T283="Jakelukuorma-auto",0,IF(T283="Maansiirtoauto",4,IF(T283="Puoliperävaunu",6,8)))</f>
        <v>8</v>
      </c>
      <c r="AI283" s="46">
        <f>IF(AND(T283="Jakelukuorma-auto",U283=6),0,IF(AND(T283="Jakelukuorma-auto",U283=15),2,0))</f>
        <v>0</v>
      </c>
      <c r="AJ283" s="46">
        <f>IF(W283="maantieajo",0,1)</f>
        <v>1</v>
      </c>
      <c r="AK283" s="104"/>
      <c r="AL283" s="35"/>
      <c r="AM283" s="35"/>
      <c r="AN283" s="36"/>
      <c r="AO283" s="36"/>
      <c r="AP283" s="36"/>
      <c r="AQ283" s="36"/>
      <c r="AR283" s="36"/>
      <c r="AS283" s="36"/>
      <c r="AT283" s="36"/>
      <c r="AU283" s="36"/>
      <c r="AV283" s="36"/>
      <c r="AW283" s="36"/>
      <c r="AX283" s="36"/>
      <c r="AY283" s="36"/>
      <c r="AZ283" s="36"/>
      <c r="BA283" s="36"/>
      <c r="BB283" s="36"/>
      <c r="BC283" s="36"/>
      <c r="BD283" s="36"/>
      <c r="BE283" s="36"/>
    </row>
    <row r="284" spans="2:57" s="30" customFormat="1" ht="30" x14ac:dyDescent="0.2">
      <c r="B284" s="166" t="s">
        <v>499</v>
      </c>
      <c r="C284" s="471" t="s">
        <v>298</v>
      </c>
      <c r="D284" s="472"/>
      <c r="E284" s="472"/>
      <c r="F284" s="472"/>
      <c r="G284" s="473"/>
      <c r="J284" s="32" t="s">
        <v>396</v>
      </c>
      <c r="K284" s="92" t="str">
        <f>IFERROR(IF(ISNUMBER(L284),L284,(VLOOKUP(C284,Kalusto!$C$45:$V$84,19,FALSE)*(VLOOKUP(C285,Muut!$D$40:$E$43,2,FALSE)))),"--")</f>
        <v>--</v>
      </c>
      <c r="L284" s="39"/>
      <c r="M284" s="40" t="s">
        <v>188</v>
      </c>
      <c r="N284" s="40"/>
      <c r="O284" s="259"/>
      <c r="P284" s="33"/>
      <c r="Q284" s="50"/>
      <c r="R284" s="35"/>
      <c r="S284" s="35"/>
      <c r="T284" s="35"/>
      <c r="U284" s="35"/>
      <c r="V284" s="35"/>
      <c r="W284" s="35"/>
      <c r="X284" s="35"/>
      <c r="Y284" s="35"/>
      <c r="Z284" s="35"/>
      <c r="AA284" s="35"/>
      <c r="AB284" s="35"/>
      <c r="AC284" s="35"/>
      <c r="AD284" s="35"/>
      <c r="AE284" s="35"/>
      <c r="AF284" s="35"/>
      <c r="AG284" s="35"/>
      <c r="AH284" s="35"/>
      <c r="AI284" s="35"/>
      <c r="AJ284" s="35"/>
      <c r="AK284" s="104"/>
      <c r="AL284" s="35"/>
      <c r="AM284" s="35"/>
      <c r="AN284" s="36"/>
      <c r="AO284" s="36"/>
      <c r="AP284" s="36"/>
      <c r="AQ284" s="36"/>
      <c r="AR284" s="36"/>
      <c r="AS284" s="36"/>
      <c r="AT284" s="36"/>
      <c r="AU284" s="36"/>
      <c r="AV284" s="36"/>
      <c r="AW284" s="36"/>
      <c r="AX284" s="36"/>
      <c r="AY284" s="36"/>
      <c r="AZ284" s="36"/>
      <c r="BA284" s="36"/>
      <c r="BB284" s="36"/>
      <c r="BC284" s="36"/>
      <c r="BD284" s="36"/>
      <c r="BE284" s="36"/>
    </row>
    <row r="285" spans="2:57" s="30" customFormat="1" ht="15" x14ac:dyDescent="0.2">
      <c r="B285" s="182" t="s">
        <v>457</v>
      </c>
      <c r="C285" s="156" t="s">
        <v>309</v>
      </c>
      <c r="D285" s="33"/>
      <c r="E285" s="33"/>
      <c r="F285" s="33"/>
      <c r="G285" s="33"/>
      <c r="H285" s="57"/>
      <c r="J285" s="169"/>
      <c r="K285" s="169"/>
      <c r="L285" s="169"/>
      <c r="M285" s="40"/>
      <c r="N285" s="40"/>
      <c r="O285" s="259"/>
      <c r="Q285" s="45"/>
      <c r="R285" s="98"/>
      <c r="S285" s="98"/>
      <c r="T285" s="35"/>
      <c r="U285" s="35"/>
      <c r="V285" s="177"/>
      <c r="W285" s="177"/>
      <c r="X285" s="59"/>
      <c r="Y285" s="35"/>
      <c r="Z285" s="59"/>
      <c r="AA285" s="178"/>
      <c r="AB285" s="59"/>
      <c r="AC285" s="59"/>
      <c r="AD285" s="59"/>
      <c r="AE285" s="59"/>
      <c r="AF285" s="178"/>
      <c r="AG285" s="59"/>
      <c r="AH285" s="35"/>
      <c r="AI285" s="35"/>
      <c r="AJ285" s="35"/>
      <c r="AK285" s="104"/>
      <c r="AL285" s="35"/>
      <c r="AM285" s="35"/>
      <c r="AN285" s="36"/>
      <c r="AO285" s="36"/>
      <c r="AP285" s="36"/>
      <c r="AQ285" s="36"/>
      <c r="AR285" s="36"/>
      <c r="AS285" s="36"/>
      <c r="AT285" s="36"/>
      <c r="AU285" s="36"/>
      <c r="AV285" s="36"/>
      <c r="AW285" s="36"/>
      <c r="AX285" s="36"/>
      <c r="AY285" s="36"/>
      <c r="AZ285" s="36"/>
      <c r="BA285" s="36"/>
      <c r="BB285" s="36"/>
      <c r="BC285" s="36"/>
      <c r="BD285" s="36"/>
      <c r="BE285" s="36"/>
    </row>
    <row r="286" spans="2:57" s="30" customFormat="1" ht="15" x14ac:dyDescent="0.2">
      <c r="B286" s="44" t="s">
        <v>498</v>
      </c>
      <c r="C286" s="156"/>
      <c r="D286" s="81" t="s">
        <v>5</v>
      </c>
      <c r="G286" s="33"/>
      <c r="H286" s="81"/>
      <c r="I286" s="51"/>
      <c r="J286" s="51"/>
      <c r="K286" s="33"/>
      <c r="L286" s="33"/>
      <c r="M286" s="81"/>
      <c r="N286" s="81"/>
      <c r="O286" s="96"/>
      <c r="P286" s="51"/>
      <c r="Q286" s="50"/>
      <c r="R286" s="35"/>
      <c r="S286" s="35"/>
      <c r="T286" s="35"/>
      <c r="U286" s="35"/>
      <c r="V286" s="35"/>
      <c r="W286" s="35"/>
      <c r="X286" s="35"/>
      <c r="Y286" s="35"/>
      <c r="Z286" s="35"/>
      <c r="AA286" s="35"/>
      <c r="AB286" s="35"/>
      <c r="AC286" s="35"/>
      <c r="AD286" s="35"/>
      <c r="AE286" s="35"/>
      <c r="AF286" s="35"/>
      <c r="AG286" s="35"/>
      <c r="AH286" s="35"/>
      <c r="AI286" s="35"/>
      <c r="AJ286" s="35"/>
      <c r="AK286" s="104"/>
      <c r="AL286" s="35"/>
      <c r="AM286" s="35"/>
      <c r="AN286" s="36"/>
      <c r="AO286" s="36"/>
      <c r="AP286" s="36"/>
      <c r="AQ286" s="36"/>
      <c r="AR286" s="36"/>
      <c r="AS286" s="36"/>
      <c r="AT286" s="36"/>
      <c r="AU286" s="36"/>
      <c r="AV286" s="36"/>
      <c r="AW286" s="36"/>
      <c r="AX286" s="36"/>
      <c r="AY286" s="36"/>
      <c r="AZ286" s="36"/>
      <c r="BA286" s="36"/>
      <c r="BB286" s="36"/>
      <c r="BC286" s="36"/>
      <c r="BD286" s="36"/>
      <c r="BE286" s="36"/>
    </row>
    <row r="287" spans="2:57" s="30" customFormat="1" ht="15" x14ac:dyDescent="0.2">
      <c r="B287" s="151" t="s">
        <v>3</v>
      </c>
      <c r="C287" s="33"/>
      <c r="D287" s="81"/>
      <c r="E287" s="33"/>
      <c r="F287" s="33"/>
      <c r="G287" s="37"/>
      <c r="H287" s="81"/>
      <c r="J287" s="32"/>
      <c r="K287" s="37" t="s">
        <v>297</v>
      </c>
      <c r="L287" s="37" t="s">
        <v>185</v>
      </c>
      <c r="M287" s="81"/>
      <c r="N287" s="81"/>
      <c r="O287" s="96"/>
      <c r="P287" s="33"/>
      <c r="Q287" s="34"/>
      <c r="R287" s="43" t="s">
        <v>318</v>
      </c>
      <c r="S287" s="35"/>
      <c r="T287" s="35" t="s">
        <v>400</v>
      </c>
      <c r="U287" s="35" t="s">
        <v>399</v>
      </c>
      <c r="V287" s="43" t="s">
        <v>397</v>
      </c>
      <c r="W287" s="35" t="s">
        <v>398</v>
      </c>
      <c r="X287" s="43" t="s">
        <v>401</v>
      </c>
      <c r="Y287" s="43" t="s">
        <v>403</v>
      </c>
      <c r="Z287" s="43" t="s">
        <v>402</v>
      </c>
      <c r="AA287" s="43" t="s">
        <v>186</v>
      </c>
      <c r="AB287" s="43" t="s">
        <v>345</v>
      </c>
      <c r="AC287" s="43" t="s">
        <v>404</v>
      </c>
      <c r="AD287" s="43" t="s">
        <v>346</v>
      </c>
      <c r="AE287" s="43" t="s">
        <v>405</v>
      </c>
      <c r="AF287" s="43" t="s">
        <v>406</v>
      </c>
      <c r="AG287" s="43" t="s">
        <v>578</v>
      </c>
      <c r="AH287" s="35" t="s">
        <v>190</v>
      </c>
      <c r="AI287" s="35" t="s">
        <v>249</v>
      </c>
      <c r="AJ287" s="35" t="s">
        <v>191</v>
      </c>
      <c r="AK287" s="104"/>
      <c r="AL287" s="35"/>
      <c r="AM287" s="35"/>
      <c r="AN287" s="36"/>
      <c r="AO287" s="36"/>
      <c r="AP287" s="36"/>
      <c r="AQ287" s="36"/>
      <c r="AR287" s="36"/>
      <c r="AS287" s="36"/>
      <c r="AT287" s="36"/>
      <c r="AU287" s="36"/>
      <c r="AV287" s="36"/>
      <c r="AW287" s="36"/>
      <c r="AX287" s="36"/>
      <c r="AY287" s="36"/>
      <c r="AZ287" s="36"/>
      <c r="BA287" s="36"/>
      <c r="BB287" s="36"/>
      <c r="BC287" s="36"/>
      <c r="BD287" s="36"/>
      <c r="BE287" s="36"/>
    </row>
    <row r="288" spans="2:57" s="30" customFormat="1" ht="30" x14ac:dyDescent="0.2">
      <c r="B288" s="166" t="s">
        <v>501</v>
      </c>
      <c r="C288" s="156"/>
      <c r="D288" s="86" t="s">
        <v>52</v>
      </c>
      <c r="E288" s="57"/>
      <c r="F288" s="55"/>
      <c r="G288" s="157"/>
      <c r="H288" s="81" t="str">
        <f>IF(D288="t","","t/m3")</f>
        <v/>
      </c>
      <c r="J288" s="169" t="s">
        <v>395</v>
      </c>
      <c r="K288" s="92" t="str">
        <f>IFERROR(IF(ISNUMBER(L288),L288,(VLOOKUP(C289,Kalusto!$C$45:$G$84,5,FALSE)*VLOOKUP(C290,Muut!$D$40:$E$43,2,FALSE))),"--")</f>
        <v>--</v>
      </c>
      <c r="L288" s="39"/>
      <c r="M288" s="40" t="s">
        <v>184</v>
      </c>
      <c r="N288" s="40"/>
      <c r="O288" s="259"/>
      <c r="Q288" s="45"/>
      <c r="R288" s="48" t="str">
        <f>IF(AND(NOT(ISNUMBER(AB288)),NOT(ISNUMBER(AG288))),"",IF(ISNUMBER(AB288),AB288,0)+IF(ISNUMBER(AG288),AG288,0))</f>
        <v/>
      </c>
      <c r="S288" s="98" t="s">
        <v>160</v>
      </c>
      <c r="T288" s="46" t="str">
        <f>IFERROR(IF(ISNUMBER(L288),"Kohdetieto",VLOOKUP(C289,Kalusto!$C$45:$L$84,7,FALSE)),"--")</f>
        <v>--</v>
      </c>
      <c r="U288" s="46" t="str">
        <f>IFERROR(IF(ISNUMBER(L288),"Kohdetieto",VLOOKUP(C289,Kalusto!$C$45:$L$84,8,FALSE)),"--")</f>
        <v>--</v>
      </c>
      <c r="V288" s="47" t="str">
        <f>IFERROR(IF(ISNUMBER(L288),"Kohdetieto",VLOOKUP(C289,Kalusto!$C$45:$L$84,9,FALSE)),"--")</f>
        <v>--</v>
      </c>
      <c r="W288" s="47" t="str">
        <f>IFERROR(IF(ISNUMBER(L288),"Kohdetieto",VLOOKUP(C289,Kalusto!$C$45:$L$84,10,FALSE)),"--")</f>
        <v>--</v>
      </c>
      <c r="X288" s="48" t="str">
        <f>IF(ISBLANK(C288),"",IF(D288="t",C288,C288*G288))</f>
        <v/>
      </c>
      <c r="Y288" s="46" t="str">
        <f>IF(ISNUMBER(C291),C291,"")</f>
        <v/>
      </c>
      <c r="Z288" s="48" t="str">
        <f>IF(ISNUMBER(X288/(U288*V288)*Y288),X288/(U288*V288)*Y288,"")</f>
        <v/>
      </c>
      <c r="AA288" s="49" t="str">
        <f>IF(ISNUMBER(L288),L288,K288)</f>
        <v>--</v>
      </c>
      <c r="AB288" s="48" t="str">
        <f>IF(ISNUMBER(Y288*X288*K288),Y288*X288*K288,"")</f>
        <v/>
      </c>
      <c r="AC288" s="48" t="str">
        <f>IF(ISNUMBER(Y288),Y288,"")</f>
        <v/>
      </c>
      <c r="AD288" s="48" t="str">
        <f>IF(ISNUMBER(X288),IF(ISNUMBER(X288/(U288*V288)),CEILING(X288/(U288*V288),1),""),"")</f>
        <v/>
      </c>
      <c r="AE288" s="48" t="str">
        <f>IF(ISNUMBER(AD288*AC288),AD288*AC288,"")</f>
        <v/>
      </c>
      <c r="AF288" s="49" t="str">
        <f>IF(ISNUMBER(L289),L289,K289)</f>
        <v>--</v>
      </c>
      <c r="AG288" s="48" t="str">
        <f>IF(ISNUMBER(AC288*AD288*K289),AC288*AD288*K289,"")</f>
        <v/>
      </c>
      <c r="AH288" s="46">
        <f>IF(T288="Jakelukuorma-auto",0,IF(T288="Maansiirtoauto",4,IF(T288="Puoliperävaunu",6,8)))</f>
        <v>8</v>
      </c>
      <c r="AI288" s="46">
        <f>IF(AND(T288="Jakelukuorma-auto",U288=6),0,IF(AND(T288="Jakelukuorma-auto",U288=15),2,0))</f>
        <v>0</v>
      </c>
      <c r="AJ288" s="46">
        <f>IF(W288="maantieajo",0,1)</f>
        <v>1</v>
      </c>
      <c r="AK288" s="104"/>
      <c r="AL288" s="35"/>
      <c r="AM288" s="35"/>
      <c r="AN288" s="36"/>
      <c r="AO288" s="36"/>
      <c r="AP288" s="36"/>
      <c r="AQ288" s="36"/>
      <c r="AR288" s="36"/>
      <c r="AS288" s="36"/>
      <c r="AT288" s="36"/>
      <c r="AU288" s="36"/>
      <c r="AV288" s="36"/>
      <c r="AW288" s="36"/>
      <c r="AX288" s="36"/>
      <c r="AY288" s="36"/>
      <c r="AZ288" s="36"/>
      <c r="BA288" s="36"/>
      <c r="BB288" s="36"/>
      <c r="BC288" s="36"/>
      <c r="BD288" s="36"/>
      <c r="BE288" s="36"/>
    </row>
    <row r="289" spans="2:57" s="30" customFormat="1" ht="30" x14ac:dyDescent="0.2">
      <c r="B289" s="166" t="s">
        <v>499</v>
      </c>
      <c r="C289" s="471" t="s">
        <v>298</v>
      </c>
      <c r="D289" s="472"/>
      <c r="E289" s="472"/>
      <c r="F289" s="472"/>
      <c r="G289" s="473"/>
      <c r="J289" s="32" t="s">
        <v>396</v>
      </c>
      <c r="K289" s="92" t="str">
        <f>IFERROR(IF(ISNUMBER(L289),L289,(VLOOKUP(C289,Kalusto!$C$45:$V$84,19,FALSE)*(VLOOKUP(C290,Muut!$D$40:$E$43,2,FALSE)))),"--")</f>
        <v>--</v>
      </c>
      <c r="L289" s="39"/>
      <c r="M289" s="40" t="s">
        <v>188</v>
      </c>
      <c r="N289" s="40"/>
      <c r="O289" s="259"/>
      <c r="P289" s="33"/>
      <c r="Q289" s="50"/>
      <c r="R289" s="35"/>
      <c r="S289" s="35"/>
      <c r="T289" s="35"/>
      <c r="U289" s="35"/>
      <c r="V289" s="35"/>
      <c r="W289" s="35"/>
      <c r="X289" s="35"/>
      <c r="Y289" s="35"/>
      <c r="Z289" s="35"/>
      <c r="AA289" s="35"/>
      <c r="AB289" s="35"/>
      <c r="AC289" s="35"/>
      <c r="AD289" s="35"/>
      <c r="AE289" s="35"/>
      <c r="AF289" s="35"/>
      <c r="AG289" s="35"/>
      <c r="AH289" s="35"/>
      <c r="AI289" s="35"/>
      <c r="AJ289" s="35"/>
      <c r="AK289" s="104"/>
      <c r="AL289" s="35"/>
      <c r="AM289" s="35"/>
      <c r="AN289" s="36"/>
      <c r="AO289" s="36"/>
      <c r="AP289" s="36"/>
      <c r="AQ289" s="36"/>
      <c r="AR289" s="36"/>
      <c r="AS289" s="36"/>
      <c r="AT289" s="36"/>
      <c r="AU289" s="36"/>
      <c r="AV289" s="36"/>
      <c r="AW289" s="36"/>
      <c r="AX289" s="36"/>
      <c r="AY289" s="36"/>
      <c r="AZ289" s="36"/>
      <c r="BA289" s="36"/>
      <c r="BB289" s="36"/>
      <c r="BC289" s="36"/>
      <c r="BD289" s="36"/>
      <c r="BE289" s="36"/>
    </row>
    <row r="290" spans="2:57" s="30" customFormat="1" ht="15" x14ac:dyDescent="0.2">
      <c r="B290" s="182" t="s">
        <v>457</v>
      </c>
      <c r="C290" s="156" t="s">
        <v>309</v>
      </c>
      <c r="D290" s="33"/>
      <c r="E290" s="33"/>
      <c r="F290" s="33"/>
      <c r="G290" s="33"/>
      <c r="H290" s="57"/>
      <c r="J290" s="169"/>
      <c r="K290" s="169"/>
      <c r="L290" s="169"/>
      <c r="M290" s="40"/>
      <c r="N290" s="40"/>
      <c r="O290" s="259"/>
      <c r="Q290" s="45"/>
      <c r="R290" s="98"/>
      <c r="S290" s="98"/>
      <c r="T290" s="35"/>
      <c r="U290" s="35"/>
      <c r="V290" s="177"/>
      <c r="W290" s="177"/>
      <c r="X290" s="59"/>
      <c r="Y290" s="35"/>
      <c r="Z290" s="59"/>
      <c r="AA290" s="178"/>
      <c r="AB290" s="59"/>
      <c r="AC290" s="59"/>
      <c r="AD290" s="59"/>
      <c r="AE290" s="59"/>
      <c r="AF290" s="178"/>
      <c r="AG290" s="59"/>
      <c r="AH290" s="35"/>
      <c r="AI290" s="35"/>
      <c r="AJ290" s="35"/>
      <c r="AK290" s="104"/>
      <c r="AL290" s="35"/>
      <c r="AM290" s="35"/>
      <c r="AN290" s="36"/>
      <c r="AO290" s="36"/>
      <c r="AP290" s="36"/>
      <c r="AQ290" s="36"/>
      <c r="AR290" s="36"/>
      <c r="AS290" s="36"/>
      <c r="AT290" s="36"/>
      <c r="AU290" s="36"/>
      <c r="AV290" s="36"/>
      <c r="AW290" s="36"/>
      <c r="AX290" s="36"/>
      <c r="AY290" s="36"/>
      <c r="AZ290" s="36"/>
      <c r="BA290" s="36"/>
      <c r="BB290" s="36"/>
      <c r="BC290" s="36"/>
      <c r="BD290" s="36"/>
      <c r="BE290" s="36"/>
    </row>
    <row r="291" spans="2:57" s="30" customFormat="1" ht="15" x14ac:dyDescent="0.2">
      <c r="B291" s="44" t="s">
        <v>498</v>
      </c>
      <c r="C291" s="156"/>
      <c r="D291" s="81" t="s">
        <v>164</v>
      </c>
      <c r="G291" s="33"/>
      <c r="H291" s="81"/>
      <c r="I291" s="51"/>
      <c r="J291" s="51"/>
      <c r="K291" s="33"/>
      <c r="L291" s="33"/>
      <c r="M291" s="81"/>
      <c r="N291" s="81"/>
      <c r="O291" s="96"/>
      <c r="P291" s="51"/>
      <c r="Q291" s="50"/>
      <c r="R291" s="35"/>
      <c r="S291" s="35"/>
      <c r="T291" s="35"/>
      <c r="U291" s="35"/>
      <c r="V291" s="35"/>
      <c r="W291" s="35"/>
      <c r="X291" s="35"/>
      <c r="Y291" s="35"/>
      <c r="Z291" s="35"/>
      <c r="AA291" s="35"/>
      <c r="AB291" s="35"/>
      <c r="AC291" s="35"/>
      <c r="AD291" s="35"/>
      <c r="AE291" s="35"/>
      <c r="AF291" s="35"/>
      <c r="AG291" s="35"/>
      <c r="AH291" s="35"/>
      <c r="AI291" s="35"/>
      <c r="AJ291" s="35"/>
      <c r="AK291" s="104"/>
      <c r="AL291" s="35"/>
      <c r="AM291" s="35"/>
      <c r="AN291" s="36"/>
      <c r="AO291" s="36"/>
      <c r="AP291" s="36"/>
      <c r="AQ291" s="36"/>
      <c r="AR291" s="36"/>
      <c r="AS291" s="36"/>
      <c r="AT291" s="36"/>
      <c r="AU291" s="36"/>
      <c r="AV291" s="36"/>
      <c r="AW291" s="36"/>
      <c r="AX291" s="36"/>
      <c r="AY291" s="36"/>
      <c r="AZ291" s="36"/>
      <c r="BA291" s="36"/>
      <c r="BB291" s="36"/>
      <c r="BC291" s="36"/>
      <c r="BD291" s="36"/>
      <c r="BE291" s="36"/>
    </row>
    <row r="292" spans="2:57" s="30" customFormat="1" ht="15" x14ac:dyDescent="0.2">
      <c r="B292" s="151" t="s">
        <v>4</v>
      </c>
      <c r="C292" s="33"/>
      <c r="D292" s="81"/>
      <c r="G292" s="33"/>
      <c r="H292" s="81"/>
      <c r="J292" s="32"/>
      <c r="K292" s="37" t="s">
        <v>297</v>
      </c>
      <c r="L292" s="37" t="s">
        <v>185</v>
      </c>
      <c r="M292" s="81"/>
      <c r="N292" s="81"/>
      <c r="O292" s="96"/>
      <c r="P292" s="33"/>
      <c r="Q292" s="34"/>
      <c r="R292" s="43" t="s">
        <v>318</v>
      </c>
      <c r="S292" s="35"/>
      <c r="T292" s="35" t="s">
        <v>400</v>
      </c>
      <c r="U292" s="35" t="s">
        <v>399</v>
      </c>
      <c r="V292" s="43" t="s">
        <v>397</v>
      </c>
      <c r="W292" s="35" t="s">
        <v>398</v>
      </c>
      <c r="X292" s="43" t="s">
        <v>401</v>
      </c>
      <c r="Y292" s="43" t="s">
        <v>403</v>
      </c>
      <c r="Z292" s="43" t="s">
        <v>402</v>
      </c>
      <c r="AA292" s="43" t="s">
        <v>186</v>
      </c>
      <c r="AB292" s="43" t="s">
        <v>345</v>
      </c>
      <c r="AC292" s="43" t="s">
        <v>404</v>
      </c>
      <c r="AD292" s="43" t="s">
        <v>346</v>
      </c>
      <c r="AE292" s="43" t="s">
        <v>405</v>
      </c>
      <c r="AF292" s="43" t="s">
        <v>406</v>
      </c>
      <c r="AG292" s="43" t="s">
        <v>578</v>
      </c>
      <c r="AH292" s="35" t="s">
        <v>190</v>
      </c>
      <c r="AI292" s="35" t="s">
        <v>249</v>
      </c>
      <c r="AJ292" s="35" t="s">
        <v>191</v>
      </c>
      <c r="AK292" s="104"/>
      <c r="AL292" s="35"/>
      <c r="AM292" s="35"/>
      <c r="AN292" s="36"/>
      <c r="AO292" s="36"/>
      <c r="AP292" s="36"/>
      <c r="AQ292" s="36"/>
      <c r="AR292" s="36"/>
      <c r="AS292" s="36"/>
      <c r="AT292" s="36"/>
      <c r="AU292" s="36"/>
      <c r="AV292" s="36"/>
      <c r="AW292" s="36"/>
      <c r="AX292" s="36"/>
      <c r="AY292" s="36"/>
      <c r="AZ292" s="36"/>
      <c r="BA292" s="36"/>
      <c r="BB292" s="36"/>
      <c r="BC292" s="36"/>
      <c r="BD292" s="36"/>
      <c r="BE292" s="36"/>
    </row>
    <row r="293" spans="2:57" s="30" customFormat="1" ht="30" x14ac:dyDescent="0.2">
      <c r="B293" s="166" t="s">
        <v>501</v>
      </c>
      <c r="C293" s="157"/>
      <c r="D293" s="86" t="s">
        <v>52</v>
      </c>
      <c r="E293" s="57"/>
      <c r="F293" s="55"/>
      <c r="G293" s="157"/>
      <c r="H293" s="81" t="str">
        <f>IF(D293="t","","t/m3")</f>
        <v/>
      </c>
      <c r="J293" s="169" t="s">
        <v>395</v>
      </c>
      <c r="K293" s="92" t="str">
        <f>IFERROR(IF(ISNUMBER(L293),L293,(VLOOKUP(C294,Kalusto!$C$45:$G$84,5,FALSE)*VLOOKUP(C295,Muut!$D$40:$E$43,2,FALSE))),"--")</f>
        <v>--</v>
      </c>
      <c r="L293" s="39"/>
      <c r="M293" s="40" t="s">
        <v>184</v>
      </c>
      <c r="N293" s="40"/>
      <c r="O293" s="259"/>
      <c r="Q293" s="45"/>
      <c r="R293" s="48" t="str">
        <f>IF(AND(NOT(ISNUMBER(AB293)),NOT(ISNUMBER(AG293))),"",IF(ISNUMBER(AB293),AB293,0)+IF(ISNUMBER(AG293),AG293,0))</f>
        <v/>
      </c>
      <c r="S293" s="98" t="s">
        <v>160</v>
      </c>
      <c r="T293" s="46" t="str">
        <f>IFERROR(IF(ISNUMBER(L293),"Kohdetieto",VLOOKUP(C294,Kalusto!$C$45:$L$84,7,FALSE)),"--")</f>
        <v>--</v>
      </c>
      <c r="U293" s="46" t="str">
        <f>IFERROR(IF(ISNUMBER(L293),"Kohdetieto",VLOOKUP(C294,Kalusto!$C$45:$L$84,8,FALSE)),"--")</f>
        <v>--</v>
      </c>
      <c r="V293" s="47" t="str">
        <f>IFERROR(IF(ISNUMBER(L293),"Kohdetieto",VLOOKUP(C294,Kalusto!$C$45:$L$84,9,FALSE)),"--")</f>
        <v>--</v>
      </c>
      <c r="W293" s="47" t="str">
        <f>IFERROR(IF(ISNUMBER(L293),"Kohdetieto",VLOOKUP(C294,Kalusto!$C$45:$L$84,10,FALSE)),"--")</f>
        <v>--</v>
      </c>
      <c r="X293" s="48" t="str">
        <f>IF(ISBLANK(C293),"",IF(D293="t",C293,C293*G293))</f>
        <v/>
      </c>
      <c r="Y293" s="46" t="str">
        <f>IF(ISNUMBER(C296),C296,"")</f>
        <v/>
      </c>
      <c r="Z293" s="48" t="str">
        <f>IF(ISNUMBER(X293/(U293*V293)*Y293),X293/(U293*V293)*Y293,"")</f>
        <v/>
      </c>
      <c r="AA293" s="49" t="str">
        <f>IF(ISNUMBER(L293),L293,K293)</f>
        <v>--</v>
      </c>
      <c r="AB293" s="48" t="str">
        <f>IF(ISNUMBER(Y293*X293*K293),Y293*X293*K293,"")</f>
        <v/>
      </c>
      <c r="AC293" s="48" t="str">
        <f>IF(ISNUMBER(Y293),Y293,"")</f>
        <v/>
      </c>
      <c r="AD293" s="48" t="str">
        <f>IF(ISNUMBER(X293),IF(ISNUMBER(X293/(U293*V293)),CEILING(X293/(U293*V293),1),""),"")</f>
        <v/>
      </c>
      <c r="AE293" s="48" t="str">
        <f>IF(ISNUMBER(AD293*AC293),AD293*AC293,"")</f>
        <v/>
      </c>
      <c r="AF293" s="49" t="str">
        <f>IF(ISNUMBER(L294),L294,K294)</f>
        <v>--</v>
      </c>
      <c r="AG293" s="48" t="str">
        <f>IF(ISNUMBER(AC293*AD293*K294),AC293*AD293*K294,"")</f>
        <v/>
      </c>
      <c r="AH293" s="46">
        <f>IF(T293="Jakelukuorma-auto",0,IF(T293="Maansiirtoauto",4,IF(T293="Puoliperävaunu",6,8)))</f>
        <v>8</v>
      </c>
      <c r="AI293" s="46">
        <f>IF(AND(T293="Jakelukuorma-auto",U293=6),0,IF(AND(T293="Jakelukuorma-auto",U293=15),2,0))</f>
        <v>0</v>
      </c>
      <c r="AJ293" s="46">
        <f>IF(W293="maantieajo",0,1)</f>
        <v>1</v>
      </c>
      <c r="AK293" s="104"/>
      <c r="AL293" s="35"/>
      <c r="AM293" s="35"/>
      <c r="AN293" s="36"/>
      <c r="AO293" s="36"/>
      <c r="AP293" s="36"/>
      <c r="AQ293" s="36"/>
      <c r="AR293" s="36"/>
      <c r="AS293" s="36"/>
      <c r="AT293" s="36"/>
      <c r="AU293" s="36"/>
      <c r="AV293" s="36"/>
      <c r="AW293" s="36"/>
      <c r="AX293" s="36"/>
      <c r="AY293" s="36"/>
      <c r="AZ293" s="36"/>
      <c r="BA293" s="36"/>
      <c r="BB293" s="36"/>
      <c r="BC293" s="36"/>
      <c r="BD293" s="36"/>
      <c r="BE293" s="36"/>
    </row>
    <row r="294" spans="2:57" s="30" customFormat="1" ht="30" x14ac:dyDescent="0.2">
      <c r="B294" s="166" t="s">
        <v>499</v>
      </c>
      <c r="C294" s="471" t="s">
        <v>298</v>
      </c>
      <c r="D294" s="472"/>
      <c r="E294" s="472"/>
      <c r="F294" s="472"/>
      <c r="G294" s="473"/>
      <c r="I294" s="57"/>
      <c r="J294" s="32" t="s">
        <v>396</v>
      </c>
      <c r="K294" s="92" t="str">
        <f>IFERROR(IF(ISNUMBER(L294),L294,(VLOOKUP(C294,Kalusto!$C$45:$V$84,19,FALSE)*(VLOOKUP(C295,Muut!$D$40:$E$43,2,FALSE)))),"--")</f>
        <v>--</v>
      </c>
      <c r="L294" s="39"/>
      <c r="M294" s="40" t="s">
        <v>188</v>
      </c>
      <c r="N294" s="40"/>
      <c r="O294" s="259"/>
      <c r="P294" s="33"/>
      <c r="Q294" s="50"/>
      <c r="R294" s="95"/>
      <c r="S294" s="35"/>
      <c r="T294" s="35"/>
      <c r="U294" s="35"/>
      <c r="V294" s="35"/>
      <c r="W294" s="35"/>
      <c r="X294" s="35"/>
      <c r="Y294" s="35"/>
      <c r="Z294" s="35"/>
      <c r="AA294" s="35"/>
      <c r="AB294" s="35"/>
      <c r="AC294" s="35"/>
      <c r="AD294" s="35"/>
      <c r="AE294" s="35"/>
      <c r="AF294" s="35"/>
      <c r="AG294" s="35"/>
      <c r="AH294" s="35"/>
      <c r="AI294" s="35"/>
      <c r="AJ294" s="35"/>
      <c r="AK294" s="35"/>
      <c r="AL294" s="35"/>
      <c r="AM294" s="35"/>
      <c r="AN294" s="36"/>
      <c r="AO294" s="36"/>
      <c r="AP294" s="36"/>
      <c r="AQ294" s="36"/>
      <c r="AR294" s="36"/>
      <c r="AS294" s="36"/>
      <c r="AT294" s="36"/>
      <c r="AU294" s="36"/>
      <c r="AV294" s="36"/>
      <c r="AW294" s="36"/>
      <c r="AX294" s="36"/>
      <c r="AY294" s="36"/>
      <c r="AZ294" s="36"/>
      <c r="BA294" s="36"/>
      <c r="BB294" s="36"/>
      <c r="BC294" s="36"/>
      <c r="BD294" s="36"/>
      <c r="BE294" s="36"/>
    </row>
    <row r="295" spans="2:57" s="30" customFormat="1" ht="15" x14ac:dyDescent="0.2">
      <c r="B295" s="182" t="s">
        <v>457</v>
      </c>
      <c r="C295" s="156" t="s">
        <v>309</v>
      </c>
      <c r="D295" s="33"/>
      <c r="E295" s="33"/>
      <c r="F295" s="33"/>
      <c r="G295" s="33"/>
      <c r="H295" s="57"/>
      <c r="J295" s="169"/>
      <c r="K295" s="169"/>
      <c r="L295" s="169"/>
      <c r="M295" s="40"/>
      <c r="N295" s="40"/>
      <c r="O295" s="259"/>
      <c r="Q295" s="45"/>
      <c r="R295" s="98"/>
      <c r="S295" s="98"/>
      <c r="T295" s="35"/>
      <c r="U295" s="35"/>
      <c r="V295" s="177"/>
      <c r="W295" s="177"/>
      <c r="X295" s="59"/>
      <c r="Y295" s="35"/>
      <c r="Z295" s="59"/>
      <c r="AA295" s="178"/>
      <c r="AB295" s="59"/>
      <c r="AC295" s="59"/>
      <c r="AD295" s="59"/>
      <c r="AE295" s="59"/>
      <c r="AF295" s="178"/>
      <c r="AG295" s="59"/>
      <c r="AH295" s="35"/>
      <c r="AI295" s="35"/>
      <c r="AJ295" s="35"/>
      <c r="AK295" s="104"/>
      <c r="AL295" s="35"/>
      <c r="AM295" s="35"/>
      <c r="AN295" s="36"/>
      <c r="AO295" s="36"/>
      <c r="AP295" s="36"/>
      <c r="AQ295" s="36"/>
      <c r="AR295" s="36"/>
      <c r="AS295" s="36"/>
      <c r="AT295" s="36"/>
      <c r="AU295" s="36"/>
      <c r="AV295" s="36"/>
      <c r="AW295" s="36"/>
      <c r="AX295" s="36"/>
      <c r="AY295" s="36"/>
      <c r="AZ295" s="36"/>
      <c r="BA295" s="36"/>
      <c r="BB295" s="36"/>
      <c r="BC295" s="36"/>
      <c r="BD295" s="36"/>
      <c r="BE295" s="36"/>
    </row>
    <row r="296" spans="2:57" s="30" customFormat="1" ht="15" x14ac:dyDescent="0.2">
      <c r="B296" s="44" t="s">
        <v>498</v>
      </c>
      <c r="C296" s="158"/>
      <c r="D296" s="81" t="s">
        <v>5</v>
      </c>
      <c r="G296" s="33"/>
      <c r="H296" s="81"/>
      <c r="I296" s="51"/>
      <c r="J296" s="51"/>
      <c r="K296" s="33"/>
      <c r="L296" s="33"/>
      <c r="M296" s="81"/>
      <c r="N296" s="81"/>
      <c r="O296" s="96"/>
      <c r="P296" s="51"/>
      <c r="Q296" s="50"/>
      <c r="R296" s="95"/>
      <c r="S296" s="35"/>
      <c r="T296" s="35"/>
      <c r="U296" s="35"/>
      <c r="V296" s="35"/>
      <c r="W296" s="35"/>
      <c r="X296" s="35"/>
      <c r="Y296" s="35"/>
      <c r="Z296" s="35"/>
      <c r="AA296" s="35"/>
      <c r="AB296" s="35"/>
      <c r="AC296" s="35"/>
      <c r="AD296" s="35"/>
      <c r="AE296" s="35"/>
      <c r="AF296" s="35"/>
      <c r="AG296" s="35"/>
      <c r="AH296" s="35"/>
      <c r="AI296" s="35"/>
      <c r="AJ296" s="35"/>
      <c r="AK296" s="35"/>
      <c r="AL296" s="35"/>
      <c r="AM296" s="35"/>
      <c r="AN296" s="36"/>
      <c r="AO296" s="36"/>
      <c r="AP296" s="36"/>
      <c r="AQ296" s="36"/>
      <c r="AR296" s="36"/>
      <c r="AS296" s="36"/>
      <c r="AT296" s="36"/>
      <c r="AU296" s="36"/>
      <c r="AV296" s="36"/>
      <c r="AW296" s="36"/>
      <c r="AX296" s="36"/>
      <c r="AY296" s="36"/>
      <c r="AZ296" s="36"/>
      <c r="BA296" s="36"/>
      <c r="BB296" s="36"/>
      <c r="BC296" s="36"/>
      <c r="BD296" s="36"/>
      <c r="BE296" s="36"/>
    </row>
    <row r="297" spans="2:57" s="30" customFormat="1" ht="15" x14ac:dyDescent="0.2">
      <c r="B297" s="52"/>
      <c r="C297" s="33"/>
      <c r="D297" s="57"/>
      <c r="E297" s="56"/>
      <c r="F297" s="56"/>
      <c r="G297" s="33"/>
      <c r="H297" s="81"/>
      <c r="J297" s="32"/>
      <c r="K297" s="33"/>
      <c r="L297" s="33"/>
      <c r="M297" s="81"/>
      <c r="N297" s="81"/>
      <c r="O297" s="96"/>
      <c r="Q297" s="34"/>
      <c r="R297" s="95"/>
      <c r="S297" s="35"/>
      <c r="T297" s="35"/>
      <c r="U297" s="35"/>
      <c r="V297" s="35"/>
      <c r="W297" s="35"/>
      <c r="X297" s="35"/>
      <c r="Y297" s="35"/>
      <c r="Z297" s="35"/>
      <c r="AA297" s="35"/>
      <c r="AB297" s="35"/>
      <c r="AC297" s="35"/>
      <c r="AD297" s="35"/>
      <c r="AE297" s="35"/>
      <c r="AF297" s="35"/>
      <c r="AG297" s="35"/>
      <c r="AH297" s="35"/>
      <c r="AI297" s="35"/>
      <c r="AJ297" s="35"/>
      <c r="AK297" s="35"/>
      <c r="AL297" s="35"/>
      <c r="AM297" s="35"/>
      <c r="AN297" s="36"/>
      <c r="AO297" s="36"/>
      <c r="AP297" s="36"/>
      <c r="AQ297" s="36"/>
      <c r="AR297" s="36"/>
      <c r="AS297" s="36"/>
      <c r="AT297" s="36"/>
      <c r="AU297" s="36"/>
      <c r="AV297" s="36"/>
      <c r="AW297" s="36"/>
      <c r="AX297" s="36"/>
      <c r="AY297" s="36"/>
      <c r="AZ297" s="36"/>
      <c r="BA297" s="36"/>
      <c r="BB297" s="36"/>
      <c r="BC297" s="36"/>
      <c r="BD297" s="36"/>
      <c r="BE297" s="36"/>
    </row>
    <row r="298" spans="2:57" s="30" customFormat="1" ht="15" x14ac:dyDescent="0.2">
      <c r="B298" s="173" t="s">
        <v>502</v>
      </c>
      <c r="C298" s="33"/>
      <c r="D298" s="57"/>
      <c r="E298" s="56"/>
      <c r="F298" s="56"/>
      <c r="G298" s="33"/>
      <c r="H298" s="81"/>
      <c r="J298" s="32"/>
      <c r="K298" s="33"/>
      <c r="L298" s="33"/>
      <c r="M298" s="81"/>
      <c r="N298" s="81"/>
      <c r="O298" s="96"/>
      <c r="Q298" s="34"/>
      <c r="R298" s="95"/>
      <c r="S298" s="35"/>
      <c r="T298" s="35"/>
      <c r="U298" s="35"/>
      <c r="V298" s="35"/>
      <c r="W298" s="35"/>
      <c r="X298" s="35"/>
      <c r="Y298" s="35"/>
      <c r="Z298" s="35"/>
      <c r="AA298" s="35"/>
      <c r="AB298" s="35"/>
      <c r="AC298" s="35"/>
      <c r="AD298" s="35"/>
      <c r="AE298" s="35"/>
      <c r="AF298" s="35"/>
      <c r="AG298" s="35"/>
      <c r="AH298" s="35"/>
      <c r="AI298" s="35"/>
      <c r="AJ298" s="35"/>
      <c r="AK298" s="35"/>
      <c r="AL298" s="35"/>
      <c r="AM298" s="35"/>
      <c r="AN298" s="36"/>
      <c r="AO298" s="36"/>
      <c r="AP298" s="36"/>
      <c r="AQ298" s="36"/>
      <c r="AR298" s="36"/>
      <c r="AS298" s="36"/>
      <c r="AT298" s="36"/>
      <c r="AU298" s="36"/>
      <c r="AV298" s="36"/>
      <c r="AW298" s="36"/>
      <c r="AX298" s="36"/>
      <c r="AY298" s="36"/>
      <c r="AZ298" s="36"/>
      <c r="BA298" s="36"/>
      <c r="BB298" s="36"/>
      <c r="BC298" s="36"/>
      <c r="BD298" s="36"/>
      <c r="BE298" s="36"/>
    </row>
    <row r="299" spans="2:57" s="30" customFormat="1" ht="15" x14ac:dyDescent="0.2">
      <c r="B299" s="52"/>
      <c r="C299" s="33"/>
      <c r="D299" s="57"/>
      <c r="E299" s="56"/>
      <c r="F299" s="56"/>
      <c r="G299" s="33"/>
      <c r="H299" s="81"/>
      <c r="J299" s="32"/>
      <c r="K299" s="33"/>
      <c r="L299" s="33"/>
      <c r="M299" s="81"/>
      <c r="N299" s="81"/>
      <c r="O299" s="81"/>
      <c r="Q299" s="34"/>
      <c r="R299" s="95"/>
      <c r="S299" s="35"/>
      <c r="T299" s="35"/>
      <c r="U299" s="35"/>
      <c r="V299" s="35"/>
      <c r="W299" s="35"/>
      <c r="X299" s="35"/>
      <c r="Y299" s="35"/>
      <c r="Z299" s="35"/>
      <c r="AA299" s="35"/>
      <c r="AB299" s="35"/>
      <c r="AC299" s="35"/>
      <c r="AD299" s="35"/>
      <c r="AE299" s="35"/>
      <c r="AF299" s="35"/>
      <c r="AG299" s="35"/>
      <c r="AH299" s="35"/>
      <c r="AI299" s="35"/>
      <c r="AJ299" s="35"/>
      <c r="AK299" s="35"/>
      <c r="AL299" s="35"/>
      <c r="AM299" s="35"/>
      <c r="AN299" s="36"/>
      <c r="AO299" s="36"/>
      <c r="AP299" s="36"/>
      <c r="AQ299" s="36"/>
      <c r="AR299" s="36"/>
      <c r="AS299" s="36"/>
      <c r="AT299" s="36"/>
      <c r="AU299" s="36"/>
      <c r="AV299" s="36"/>
      <c r="AW299" s="36"/>
      <c r="AX299" s="36"/>
      <c r="AY299" s="36"/>
      <c r="AZ299" s="36"/>
      <c r="BA299" s="36"/>
      <c r="BB299" s="36"/>
      <c r="BC299" s="36"/>
      <c r="BD299" s="36"/>
      <c r="BE299" s="36"/>
    </row>
    <row r="300" spans="2:57" s="289" customFormat="1" ht="18" x14ac:dyDescent="0.2">
      <c r="B300" s="286" t="s">
        <v>41</v>
      </c>
      <c r="C300" s="287"/>
      <c r="D300" s="288"/>
      <c r="G300" s="287"/>
      <c r="H300" s="288"/>
      <c r="K300" s="287"/>
      <c r="L300" s="287"/>
      <c r="M300" s="288"/>
      <c r="N300" s="288"/>
      <c r="O300" s="291"/>
      <c r="P300" s="311"/>
      <c r="Q300" s="295"/>
      <c r="S300" s="294"/>
      <c r="T300" s="294"/>
      <c r="U300" s="294"/>
      <c r="V300" s="294"/>
      <c r="W300" s="294"/>
      <c r="X300" s="294"/>
      <c r="Y300" s="294"/>
      <c r="Z300" s="294"/>
      <c r="AA300" s="294"/>
      <c r="AB300" s="294"/>
      <c r="AC300" s="294"/>
      <c r="AD300" s="294"/>
      <c r="AE300" s="294"/>
      <c r="AF300" s="294"/>
      <c r="AG300" s="294"/>
      <c r="AH300" s="294"/>
      <c r="AI300" s="294"/>
      <c r="AJ300" s="294"/>
      <c r="AK300" s="294"/>
      <c r="AL300" s="294"/>
      <c r="AM300" s="294"/>
      <c r="AN300" s="295"/>
      <c r="AO300" s="295"/>
      <c r="AP300" s="295"/>
      <c r="AQ300" s="295"/>
      <c r="AR300" s="295"/>
      <c r="AS300" s="295"/>
      <c r="AT300" s="295"/>
      <c r="AU300" s="295"/>
      <c r="AV300" s="295"/>
      <c r="AW300" s="295"/>
      <c r="AX300" s="295"/>
      <c r="AY300" s="295"/>
      <c r="AZ300" s="295"/>
      <c r="BA300" s="295"/>
      <c r="BB300" s="295"/>
      <c r="BC300" s="295"/>
      <c r="BD300" s="295"/>
      <c r="BE300" s="295"/>
    </row>
    <row r="301" spans="2:57" s="30" customFormat="1" ht="15.75" x14ac:dyDescent="0.2">
      <c r="B301" s="8"/>
      <c r="C301" s="33"/>
      <c r="D301" s="81"/>
      <c r="G301" s="33"/>
      <c r="H301" s="81"/>
      <c r="J301" s="32"/>
      <c r="K301" s="33"/>
      <c r="L301" s="33"/>
      <c r="M301" s="81"/>
      <c r="N301" s="81"/>
      <c r="O301" s="81"/>
      <c r="Q301" s="34"/>
      <c r="R301" s="95"/>
      <c r="S301" s="35"/>
      <c r="T301" s="35"/>
      <c r="U301" s="35"/>
      <c r="V301" s="35"/>
      <c r="W301" s="35"/>
      <c r="X301" s="35"/>
      <c r="Y301" s="35"/>
      <c r="Z301" s="35"/>
      <c r="AA301" s="35"/>
      <c r="AB301" s="35"/>
      <c r="AC301" s="35"/>
      <c r="AD301" s="35"/>
      <c r="AE301" s="35"/>
      <c r="AF301" s="35"/>
      <c r="AG301" s="35"/>
      <c r="AH301" s="35"/>
      <c r="AI301" s="35"/>
      <c r="AJ301" s="35"/>
      <c r="AK301" s="35"/>
      <c r="AL301" s="35"/>
      <c r="AM301" s="35"/>
      <c r="AN301" s="36"/>
      <c r="AO301" s="36"/>
      <c r="AP301" s="36"/>
      <c r="AQ301" s="36"/>
      <c r="AR301" s="36"/>
      <c r="AS301" s="36"/>
      <c r="AT301" s="36"/>
      <c r="AU301" s="36"/>
      <c r="AV301" s="36"/>
      <c r="AW301" s="36"/>
      <c r="AX301" s="36"/>
      <c r="AY301" s="36"/>
      <c r="AZ301" s="36"/>
      <c r="BA301" s="36"/>
      <c r="BB301" s="36"/>
      <c r="BC301" s="36"/>
      <c r="BD301" s="36"/>
      <c r="BE301" s="36"/>
    </row>
    <row r="302" spans="2:57" s="30" customFormat="1" ht="15.75" x14ac:dyDescent="0.2">
      <c r="B302" s="8" t="s">
        <v>545</v>
      </c>
      <c r="C302" s="33"/>
      <c r="D302" s="81"/>
      <c r="G302" s="33"/>
      <c r="H302" s="81"/>
      <c r="J302" s="32"/>
      <c r="K302" s="37"/>
      <c r="L302" s="37"/>
      <c r="M302" s="81"/>
      <c r="N302" s="81"/>
      <c r="O302" s="81"/>
      <c r="Q302" s="34"/>
      <c r="R302" s="43"/>
      <c r="S302" s="35"/>
      <c r="T302" s="35"/>
      <c r="U302" s="35"/>
      <c r="V302" s="35"/>
      <c r="W302" s="43"/>
      <c r="X302" s="35"/>
      <c r="Y302" s="35"/>
      <c r="Z302" s="35"/>
      <c r="AA302" s="35"/>
      <c r="AB302" s="35"/>
      <c r="AC302" s="35"/>
      <c r="AD302" s="35"/>
      <c r="AE302" s="35"/>
      <c r="AF302" s="35"/>
      <c r="AG302" s="35"/>
      <c r="AH302" s="35"/>
      <c r="AI302" s="35"/>
      <c r="AJ302" s="35"/>
      <c r="AK302" s="35"/>
      <c r="AL302" s="35"/>
      <c r="AM302" s="35"/>
      <c r="AN302" s="36"/>
      <c r="AO302" s="36"/>
      <c r="AP302" s="36"/>
      <c r="AQ302" s="36"/>
      <c r="AR302" s="36"/>
      <c r="AS302" s="36"/>
      <c r="AT302" s="36"/>
      <c r="AU302" s="36"/>
      <c r="AV302" s="36"/>
      <c r="AW302" s="36"/>
      <c r="AX302" s="36"/>
      <c r="AY302" s="36"/>
      <c r="AZ302" s="36"/>
      <c r="BA302" s="36"/>
      <c r="BB302" s="36"/>
      <c r="BC302" s="36"/>
      <c r="BD302" s="36"/>
      <c r="BE302" s="36"/>
    </row>
    <row r="303" spans="2:57" s="30" customFormat="1" ht="15.75" x14ac:dyDescent="0.2">
      <c r="B303" s="8"/>
      <c r="C303" s="33"/>
      <c r="D303" s="81"/>
      <c r="G303" s="33"/>
      <c r="H303" s="81"/>
      <c r="J303" s="32"/>
      <c r="K303" s="37" t="s">
        <v>297</v>
      </c>
      <c r="L303" s="37" t="s">
        <v>185</v>
      </c>
      <c r="M303" s="81"/>
      <c r="N303" s="81"/>
      <c r="O303" s="249" t="s">
        <v>584</v>
      </c>
      <c r="Q303" s="34"/>
      <c r="R303" s="43" t="s">
        <v>318</v>
      </c>
      <c r="S303" s="35"/>
      <c r="T303" s="35"/>
      <c r="U303" s="35"/>
      <c r="V303" s="35"/>
      <c r="W303" s="43"/>
      <c r="X303" s="35"/>
      <c r="Y303" s="35"/>
      <c r="Z303" s="35"/>
      <c r="AA303" s="35"/>
      <c r="AB303" s="35"/>
      <c r="AC303" s="35"/>
      <c r="AD303" s="35"/>
      <c r="AE303" s="35"/>
      <c r="AF303" s="35"/>
      <c r="AG303" s="35"/>
      <c r="AH303" s="35"/>
      <c r="AI303" s="35"/>
      <c r="AJ303" s="35"/>
      <c r="AK303" s="35"/>
      <c r="AL303" s="35"/>
      <c r="AM303" s="35"/>
      <c r="AN303" s="36"/>
      <c r="AO303" s="36"/>
      <c r="AP303" s="36"/>
      <c r="AQ303" s="36"/>
      <c r="AR303" s="36"/>
      <c r="AS303" s="36"/>
      <c r="AT303" s="36"/>
      <c r="AU303" s="36"/>
      <c r="AV303" s="36"/>
      <c r="AW303" s="36"/>
      <c r="AX303" s="36"/>
      <c r="AY303" s="36"/>
      <c r="AZ303" s="36"/>
      <c r="BA303" s="36"/>
      <c r="BB303" s="36"/>
      <c r="BC303" s="36"/>
      <c r="BD303" s="36"/>
      <c r="BE303" s="36"/>
    </row>
    <row r="304" spans="2:57" s="30" customFormat="1" ht="30" x14ac:dyDescent="0.2">
      <c r="B304" s="83" t="s">
        <v>500</v>
      </c>
      <c r="C304" s="156"/>
      <c r="D304" s="81" t="s">
        <v>163</v>
      </c>
      <c r="G304" s="33"/>
      <c r="H304" s="81"/>
      <c r="J304" s="32" t="s">
        <v>513</v>
      </c>
      <c r="K304" s="92">
        <f>IF(ISNUMBER(L304),L304,Muut!$F$29*IF(OR(C305=Pudotusvalikot!$V$3,C305=Pudotusvalikot!$V$4),Muut!$E$40,IF(C305=Pudotusvalikot!$V$5,Muut!$E$41,IF(C305=Pudotusvalikot!$V$6,Muut!$E$42,Muut!$E$43))))</f>
        <v>0.22753333333333334</v>
      </c>
      <c r="L304" s="61"/>
      <c r="M304" s="40" t="s">
        <v>207</v>
      </c>
      <c r="N304" s="40"/>
      <c r="O304" s="250"/>
      <c r="Q304" s="34"/>
      <c r="R304" s="105" t="str">
        <f>IF(AND(ISNUMBER(K304),ISNUMBER(C304)),K304*C304,"")</f>
        <v/>
      </c>
      <c r="S304" s="98" t="s">
        <v>160</v>
      </c>
      <c r="T304" s="59"/>
      <c r="U304" s="59"/>
      <c r="V304" s="59"/>
      <c r="W304" s="35"/>
      <c r="X304" s="35"/>
      <c r="Y304" s="35"/>
      <c r="Z304" s="35"/>
      <c r="AA304" s="35"/>
      <c r="AB304" s="35"/>
      <c r="AC304" s="35"/>
      <c r="AD304" s="35"/>
      <c r="AE304" s="35"/>
      <c r="AF304" s="35"/>
      <c r="AG304" s="35"/>
      <c r="AH304" s="35"/>
      <c r="AI304" s="35"/>
      <c r="AJ304" s="35"/>
      <c r="AK304" s="35"/>
      <c r="AL304" s="35"/>
      <c r="AM304" s="35"/>
      <c r="AN304" s="36"/>
      <c r="AO304" s="36"/>
      <c r="AP304" s="36"/>
      <c r="AQ304" s="36"/>
      <c r="AR304" s="36"/>
      <c r="AS304" s="36"/>
      <c r="AT304" s="36"/>
      <c r="AU304" s="36"/>
      <c r="AV304" s="36"/>
      <c r="AW304" s="36"/>
      <c r="AX304" s="36"/>
      <c r="AY304" s="36"/>
      <c r="AZ304" s="36"/>
      <c r="BA304" s="36"/>
      <c r="BB304" s="36"/>
      <c r="BC304" s="36"/>
      <c r="BD304" s="36"/>
      <c r="BE304" s="36"/>
    </row>
    <row r="305" spans="2:57" s="30" customFormat="1" ht="15" x14ac:dyDescent="0.2">
      <c r="B305" s="166" t="s">
        <v>460</v>
      </c>
      <c r="C305" s="156" t="s">
        <v>223</v>
      </c>
      <c r="D305" s="33"/>
      <c r="E305" s="33"/>
      <c r="F305" s="33"/>
      <c r="G305" s="33"/>
      <c r="H305" s="33"/>
      <c r="I305" s="33"/>
      <c r="J305" s="169"/>
      <c r="K305" s="169"/>
      <c r="L305" s="169"/>
      <c r="M305" s="40"/>
      <c r="N305" s="40"/>
      <c r="O305" s="259"/>
      <c r="Q305" s="45"/>
      <c r="R305" s="59"/>
      <c r="S305" s="98"/>
      <c r="T305" s="35"/>
      <c r="U305" s="35"/>
      <c r="V305" s="177"/>
      <c r="W305" s="177"/>
      <c r="X305" s="59"/>
      <c r="Y305" s="35"/>
      <c r="Z305" s="59"/>
      <c r="AA305" s="178"/>
      <c r="AB305" s="59"/>
      <c r="AC305" s="59"/>
      <c r="AD305" s="59"/>
      <c r="AE305" s="59"/>
      <c r="AF305" s="178"/>
      <c r="AG305" s="59"/>
      <c r="AH305" s="35"/>
      <c r="AI305" s="35"/>
      <c r="AJ305" s="35"/>
      <c r="AK305" s="104"/>
      <c r="AL305" s="35"/>
      <c r="AM305" s="35"/>
      <c r="AN305" s="36"/>
      <c r="AO305" s="36"/>
      <c r="AP305" s="36"/>
      <c r="AQ305" s="36"/>
      <c r="AR305" s="36"/>
      <c r="AS305" s="36"/>
      <c r="AT305" s="36"/>
      <c r="AU305" s="36"/>
      <c r="AV305" s="36"/>
      <c r="AW305" s="36"/>
      <c r="AX305" s="36"/>
      <c r="AY305" s="36"/>
      <c r="AZ305" s="36"/>
      <c r="BA305" s="36"/>
      <c r="BB305" s="36"/>
      <c r="BC305" s="36"/>
      <c r="BD305" s="36"/>
      <c r="BE305" s="36"/>
    </row>
    <row r="306" spans="2:57" s="30" customFormat="1" ht="45" x14ac:dyDescent="0.2">
      <c r="B306" s="83" t="s">
        <v>476</v>
      </c>
      <c r="F306" s="33"/>
      <c r="G306" s="33"/>
      <c r="H306" s="33"/>
      <c r="I306" s="33"/>
      <c r="K306" s="37" t="s">
        <v>297</v>
      </c>
      <c r="L306" s="37" t="s">
        <v>185</v>
      </c>
      <c r="M306" s="81"/>
      <c r="N306" s="81"/>
      <c r="O306" s="96"/>
      <c r="Q306" s="34"/>
      <c r="R306" s="43" t="s">
        <v>318</v>
      </c>
      <c r="S306" s="104"/>
      <c r="T306" s="35"/>
      <c r="U306" s="35"/>
      <c r="V306" s="35"/>
      <c r="W306" s="35"/>
      <c r="X306" s="35"/>
      <c r="Y306" s="35"/>
      <c r="Z306" s="35"/>
      <c r="AA306" s="35"/>
      <c r="AB306" s="35"/>
      <c r="AC306" s="35"/>
      <c r="AD306" s="35"/>
      <c r="AE306" s="35"/>
      <c r="AF306" s="35"/>
      <c r="AG306" s="35"/>
      <c r="AH306" s="35"/>
      <c r="AI306" s="35"/>
      <c r="AJ306" s="35"/>
      <c r="AK306" s="35"/>
      <c r="AL306" s="35"/>
      <c r="AM306" s="35"/>
      <c r="AN306" s="36"/>
      <c r="AO306" s="36"/>
      <c r="AP306" s="36"/>
      <c r="AQ306" s="36"/>
      <c r="AR306" s="36"/>
      <c r="AS306" s="36"/>
      <c r="AT306" s="36"/>
      <c r="AU306" s="36"/>
      <c r="AV306" s="36"/>
      <c r="AW306" s="36"/>
      <c r="AX306" s="36"/>
      <c r="AY306" s="36"/>
      <c r="AZ306" s="36"/>
      <c r="BA306" s="36"/>
      <c r="BB306" s="36"/>
      <c r="BC306" s="36"/>
      <c r="BD306" s="36"/>
      <c r="BE306" s="36"/>
    </row>
    <row r="307" spans="2:57" s="30" customFormat="1" ht="15" x14ac:dyDescent="0.2">
      <c r="B307" s="132" t="s">
        <v>503</v>
      </c>
      <c r="C307" s="64"/>
      <c r="D307" s="81" t="s">
        <v>52</v>
      </c>
      <c r="G307" s="33"/>
      <c r="H307" s="81"/>
      <c r="J307" s="32" t="s">
        <v>347</v>
      </c>
      <c r="K307" s="134">
        <f>IF(ISNUMBER(L307),L307,Muut!$F$31)</f>
        <v>33.857142857142854</v>
      </c>
      <c r="L307" s="61"/>
      <c r="M307" s="40" t="s">
        <v>248</v>
      </c>
      <c r="N307" s="40"/>
      <c r="O307" s="259"/>
      <c r="Q307" s="34"/>
      <c r="R307" s="105" t="str">
        <f>IF(AND(ISNUMBER(K307),ISNUMBER(C307)),K307*C307,"")</f>
        <v/>
      </c>
      <c r="S307" s="98" t="s">
        <v>160</v>
      </c>
      <c r="T307" s="35"/>
      <c r="U307" s="35"/>
      <c r="V307" s="35"/>
      <c r="W307" s="35"/>
      <c r="X307" s="35"/>
      <c r="Y307" s="35"/>
      <c r="Z307" s="35"/>
      <c r="AA307" s="35"/>
      <c r="AB307" s="35"/>
      <c r="AC307" s="35"/>
      <c r="AD307" s="35"/>
      <c r="AE307" s="35"/>
      <c r="AF307" s="35"/>
      <c r="AG307" s="35"/>
      <c r="AH307" s="35"/>
      <c r="AI307" s="35"/>
      <c r="AJ307" s="35"/>
      <c r="AK307" s="35"/>
      <c r="AL307" s="35"/>
      <c r="AM307" s="35"/>
      <c r="AN307" s="36"/>
      <c r="AO307" s="36"/>
      <c r="AP307" s="36"/>
      <c r="AQ307" s="36"/>
      <c r="AR307" s="36"/>
      <c r="AS307" s="36"/>
      <c r="AT307" s="36"/>
      <c r="AU307" s="36"/>
      <c r="AV307" s="36"/>
      <c r="AW307" s="36"/>
      <c r="AX307" s="36"/>
      <c r="AY307" s="36"/>
      <c r="AZ307" s="36"/>
      <c r="BA307" s="36"/>
      <c r="BB307" s="36"/>
      <c r="BC307" s="36"/>
      <c r="BD307" s="36"/>
      <c r="BE307" s="36"/>
    </row>
    <row r="308" spans="2:57" s="30" customFormat="1" ht="15" x14ac:dyDescent="0.2">
      <c r="B308" s="166" t="s">
        <v>518</v>
      </c>
      <c r="C308" s="150"/>
      <c r="D308" s="81" t="str">
        <f>IF(ISBLANK(C308),"%","")</f>
        <v>%</v>
      </c>
      <c r="E308" s="33"/>
      <c r="F308" s="33"/>
      <c r="G308" s="33"/>
      <c r="H308" s="81"/>
      <c r="J308" s="32" t="s">
        <v>508</v>
      </c>
      <c r="K308" s="92" t="str">
        <f>IF(ISNUMBER(L308),L308,"")</f>
        <v/>
      </c>
      <c r="L308" s="181"/>
      <c r="M308" s="40" t="s">
        <v>248</v>
      </c>
      <c r="N308" s="40"/>
      <c r="O308" s="259"/>
      <c r="Q308" s="34"/>
      <c r="R308" s="105" t="str">
        <f>IF(AND(ISNUMBER(K308),ISNUMBER(C308)),-K308*C308*C307,"")</f>
        <v/>
      </c>
      <c r="S308" s="98" t="s">
        <v>160</v>
      </c>
      <c r="T308" s="131" t="s">
        <v>348</v>
      </c>
      <c r="U308" s="35"/>
      <c r="V308" s="35"/>
      <c r="W308" s="35"/>
      <c r="X308" s="35"/>
      <c r="Y308" s="35"/>
      <c r="Z308" s="35"/>
      <c r="AA308" s="35"/>
      <c r="AB308" s="35"/>
      <c r="AC308" s="35"/>
      <c r="AD308" s="35"/>
      <c r="AE308" s="35"/>
      <c r="AF308" s="35"/>
      <c r="AG308" s="35"/>
      <c r="AH308" s="35"/>
      <c r="AI308" s="35"/>
      <c r="AJ308" s="35"/>
      <c r="AK308" s="35"/>
      <c r="AL308" s="35"/>
      <c r="AM308" s="35"/>
      <c r="AN308" s="36"/>
      <c r="AO308" s="36"/>
      <c r="AP308" s="36"/>
      <c r="AQ308" s="36"/>
      <c r="AR308" s="36"/>
      <c r="AS308" s="36"/>
      <c r="AT308" s="36"/>
      <c r="AU308" s="36"/>
      <c r="AV308" s="36"/>
      <c r="AW308" s="36"/>
      <c r="AX308" s="36"/>
      <c r="AY308" s="36"/>
      <c r="AZ308" s="36"/>
      <c r="BA308" s="36"/>
      <c r="BB308" s="36"/>
      <c r="BC308" s="36"/>
      <c r="BD308" s="36"/>
      <c r="BE308" s="36"/>
    </row>
    <row r="309" spans="2:57" s="30" customFormat="1" ht="15" x14ac:dyDescent="0.2">
      <c r="B309" s="166" t="s">
        <v>519</v>
      </c>
      <c r="C309" s="150"/>
      <c r="D309" s="81" t="str">
        <f>IF(ISBLANK(C309),"%","")</f>
        <v>%</v>
      </c>
      <c r="E309" s="33"/>
      <c r="F309" s="33"/>
      <c r="G309" s="33"/>
      <c r="H309" s="81"/>
      <c r="J309" s="32" t="s">
        <v>512</v>
      </c>
      <c r="K309" s="92" t="str">
        <f>IF(ISNUMBER(L309),L309,"")</f>
        <v/>
      </c>
      <c r="L309" s="181"/>
      <c r="M309" s="40" t="s">
        <v>248</v>
      </c>
      <c r="N309" s="40"/>
      <c r="O309" s="259"/>
      <c r="Q309" s="34"/>
      <c r="R309" s="105" t="str">
        <f>IF(AND(ISNUMBER(K309),ISNUMBER(C309)),-K309*C309*C307,"")</f>
        <v/>
      </c>
      <c r="S309" s="98" t="s">
        <v>160</v>
      </c>
      <c r="T309" s="131" t="s">
        <v>348</v>
      </c>
      <c r="U309" s="35"/>
      <c r="V309" s="35"/>
      <c r="W309" s="35"/>
      <c r="X309" s="35"/>
      <c r="Y309" s="35"/>
      <c r="Z309" s="35"/>
      <c r="AA309" s="35"/>
      <c r="AB309" s="35"/>
      <c r="AC309" s="35"/>
      <c r="AD309" s="35"/>
      <c r="AE309" s="35"/>
      <c r="AF309" s="35"/>
      <c r="AG309" s="35"/>
      <c r="AH309" s="35"/>
      <c r="AI309" s="35"/>
      <c r="AJ309" s="35"/>
      <c r="AK309" s="35"/>
      <c r="AL309" s="35"/>
      <c r="AM309" s="35"/>
      <c r="AN309" s="36"/>
      <c r="AO309" s="36"/>
      <c r="AP309" s="36"/>
      <c r="AQ309" s="36"/>
      <c r="AR309" s="36"/>
      <c r="AS309" s="36"/>
      <c r="AT309" s="36"/>
      <c r="AU309" s="36"/>
      <c r="AV309" s="36"/>
      <c r="AW309" s="36"/>
      <c r="AX309" s="36"/>
      <c r="AY309" s="36"/>
      <c r="AZ309" s="36"/>
      <c r="BA309" s="36"/>
      <c r="BB309" s="36"/>
      <c r="BC309" s="36"/>
      <c r="BD309" s="36"/>
      <c r="BE309" s="36"/>
    </row>
    <row r="310" spans="2:57" s="30" customFormat="1" ht="15" x14ac:dyDescent="0.2">
      <c r="B310" s="132" t="s">
        <v>504</v>
      </c>
      <c r="C310" s="64"/>
      <c r="D310" s="81" t="s">
        <v>52</v>
      </c>
      <c r="G310" s="33"/>
      <c r="H310" s="81"/>
      <c r="J310" s="32" t="s">
        <v>347</v>
      </c>
      <c r="K310" s="134">
        <f>IF(ISNUMBER(L310),L310,Muut!$F$31)</f>
        <v>33.857142857142854</v>
      </c>
      <c r="L310" s="61"/>
      <c r="M310" s="40" t="s">
        <v>248</v>
      </c>
      <c r="N310" s="40"/>
      <c r="O310" s="259"/>
      <c r="Q310" s="34"/>
      <c r="R310" s="105" t="str">
        <f>IF(AND(ISNUMBER(K310),ISNUMBER(C310)),K310*C310,"")</f>
        <v/>
      </c>
      <c r="S310" s="98" t="s">
        <v>160</v>
      </c>
      <c r="T310" s="35"/>
      <c r="U310" s="35"/>
      <c r="V310" s="35"/>
      <c r="W310" s="35"/>
      <c r="X310" s="35"/>
      <c r="Y310" s="35"/>
      <c r="Z310" s="35"/>
      <c r="AA310" s="35"/>
      <c r="AB310" s="35"/>
      <c r="AC310" s="35"/>
      <c r="AD310" s="35"/>
      <c r="AE310" s="35"/>
      <c r="AF310" s="35"/>
      <c r="AG310" s="35"/>
      <c r="AH310" s="35"/>
      <c r="AI310" s="35"/>
      <c r="AJ310" s="35"/>
      <c r="AK310" s="35"/>
      <c r="AL310" s="35"/>
      <c r="AM310" s="35"/>
      <c r="AN310" s="36"/>
      <c r="AO310" s="36"/>
      <c r="AP310" s="36"/>
      <c r="AQ310" s="36"/>
      <c r="AR310" s="36"/>
      <c r="AS310" s="36"/>
      <c r="AT310" s="36"/>
      <c r="AU310" s="36"/>
      <c r="AV310" s="36"/>
      <c r="AW310" s="36"/>
      <c r="AX310" s="36"/>
      <c r="AY310" s="36"/>
      <c r="AZ310" s="36"/>
      <c r="BA310" s="36"/>
      <c r="BB310" s="36"/>
      <c r="BC310" s="36"/>
      <c r="BD310" s="36"/>
      <c r="BE310" s="36"/>
    </row>
    <row r="311" spans="2:57" s="30" customFormat="1" ht="15" x14ac:dyDescent="0.2">
      <c r="B311" s="166" t="s">
        <v>520</v>
      </c>
      <c r="C311" s="150"/>
      <c r="D311" s="81" t="str">
        <f t="shared" ref="D311:D312" si="0">IF(ISBLANK(C311),"%","")</f>
        <v>%</v>
      </c>
      <c r="G311" s="33"/>
      <c r="H311" s="81"/>
      <c r="J311" s="32" t="s">
        <v>508</v>
      </c>
      <c r="K311" s="92" t="str">
        <f>IF(ISNUMBER(L311),L311,"")</f>
        <v/>
      </c>
      <c r="L311" s="181"/>
      <c r="M311" s="40" t="s">
        <v>248</v>
      </c>
      <c r="N311" s="40"/>
      <c r="O311" s="259"/>
      <c r="Q311" s="34"/>
      <c r="R311" s="105" t="str">
        <f>IF(AND(ISNUMBER(K311),ISNUMBER(C311)),-K311*C311*C310,"")</f>
        <v/>
      </c>
      <c r="S311" s="98" t="s">
        <v>160</v>
      </c>
      <c r="T311" s="131" t="s">
        <v>348</v>
      </c>
      <c r="U311" s="35"/>
      <c r="V311" s="35"/>
      <c r="W311" s="35"/>
      <c r="X311" s="35"/>
      <c r="Y311" s="35"/>
      <c r="Z311" s="35"/>
      <c r="AA311" s="35"/>
      <c r="AB311" s="35"/>
      <c r="AC311" s="35"/>
      <c r="AD311" s="35"/>
      <c r="AE311" s="35"/>
      <c r="AF311" s="35"/>
      <c r="AG311" s="35"/>
      <c r="AH311" s="35"/>
      <c r="AI311" s="35"/>
      <c r="AJ311" s="35"/>
      <c r="AK311" s="35"/>
      <c r="AL311" s="35"/>
      <c r="AM311" s="35"/>
      <c r="AN311" s="36"/>
      <c r="AO311" s="36"/>
      <c r="AP311" s="36"/>
      <c r="AQ311" s="36"/>
      <c r="AR311" s="36"/>
      <c r="AS311" s="36"/>
      <c r="AT311" s="36"/>
      <c r="AU311" s="36"/>
      <c r="AV311" s="36"/>
      <c r="AW311" s="36"/>
      <c r="AX311" s="36"/>
      <c r="AY311" s="36"/>
      <c r="AZ311" s="36"/>
      <c r="BA311" s="36"/>
      <c r="BB311" s="36"/>
      <c r="BC311" s="36"/>
      <c r="BD311" s="36"/>
      <c r="BE311" s="36"/>
    </row>
    <row r="312" spans="2:57" s="30" customFormat="1" ht="15" x14ac:dyDescent="0.2">
      <c r="B312" s="166" t="s">
        <v>519</v>
      </c>
      <c r="C312" s="150"/>
      <c r="D312" s="81" t="str">
        <f t="shared" si="0"/>
        <v>%</v>
      </c>
      <c r="E312" s="33"/>
      <c r="F312" s="33"/>
      <c r="G312" s="33"/>
      <c r="H312" s="81"/>
      <c r="J312" s="32" t="s">
        <v>512</v>
      </c>
      <c r="K312" s="92" t="str">
        <f>IF(ISNUMBER(L312),L312,"")</f>
        <v/>
      </c>
      <c r="L312" s="181"/>
      <c r="M312" s="40" t="s">
        <v>248</v>
      </c>
      <c r="N312" s="40"/>
      <c r="O312" s="259"/>
      <c r="Q312" s="34"/>
      <c r="R312" s="105" t="str">
        <f>IF(AND(ISNUMBER(K312),ISNUMBER(C312)),-K312*C312*C310,"")</f>
        <v/>
      </c>
      <c r="S312" s="98" t="s">
        <v>160</v>
      </c>
      <c r="T312" s="131" t="s">
        <v>348</v>
      </c>
      <c r="U312" s="35"/>
      <c r="V312" s="35"/>
      <c r="W312" s="35"/>
      <c r="X312" s="35"/>
      <c r="Y312" s="35"/>
      <c r="Z312" s="35"/>
      <c r="AA312" s="35"/>
      <c r="AB312" s="35"/>
      <c r="AC312" s="35"/>
      <c r="AD312" s="35"/>
      <c r="AE312" s="35"/>
      <c r="AF312" s="35"/>
      <c r="AG312" s="35"/>
      <c r="AH312" s="35"/>
      <c r="AI312" s="35"/>
      <c r="AJ312" s="35"/>
      <c r="AK312" s="35"/>
      <c r="AL312" s="35"/>
      <c r="AM312" s="35"/>
      <c r="AN312" s="36"/>
      <c r="AO312" s="36"/>
      <c r="AP312" s="36"/>
      <c r="AQ312" s="36"/>
      <c r="AR312" s="36"/>
      <c r="AS312" s="36"/>
      <c r="AT312" s="36"/>
      <c r="AU312" s="36"/>
      <c r="AV312" s="36"/>
      <c r="AW312" s="36"/>
      <c r="AX312" s="36"/>
      <c r="AY312" s="36"/>
      <c r="AZ312" s="36"/>
      <c r="BA312" s="36"/>
      <c r="BB312" s="36"/>
      <c r="BC312" s="36"/>
      <c r="BD312" s="36"/>
      <c r="BE312" s="36"/>
    </row>
    <row r="313" spans="2:57" s="30" customFormat="1" ht="15" x14ac:dyDescent="0.2">
      <c r="B313" s="132" t="s">
        <v>505</v>
      </c>
      <c r="C313" s="64"/>
      <c r="D313" s="81" t="s">
        <v>52</v>
      </c>
      <c r="G313" s="33"/>
      <c r="H313" s="81"/>
      <c r="J313" s="32" t="s">
        <v>347</v>
      </c>
      <c r="K313" s="134">
        <f>IF(ISNUMBER(L313),L313,Muut!$F$31)</f>
        <v>33.857142857142854</v>
      </c>
      <c r="L313" s="61"/>
      <c r="M313" s="40" t="s">
        <v>248</v>
      </c>
      <c r="N313" s="40"/>
      <c r="O313" s="259"/>
      <c r="Q313" s="34"/>
      <c r="R313" s="105" t="str">
        <f>IF(AND(ISNUMBER(K313),ISNUMBER(C313)),K313*C313,"")</f>
        <v/>
      </c>
      <c r="S313" s="98" t="s">
        <v>160</v>
      </c>
      <c r="T313" s="35"/>
      <c r="U313" s="35"/>
      <c r="V313" s="35"/>
      <c r="W313" s="35"/>
      <c r="X313" s="35"/>
      <c r="Y313" s="35"/>
      <c r="Z313" s="35"/>
      <c r="AA313" s="35"/>
      <c r="AB313" s="35"/>
      <c r="AC313" s="35"/>
      <c r="AD313" s="35"/>
      <c r="AE313" s="35"/>
      <c r="AF313" s="35"/>
      <c r="AG313" s="35"/>
      <c r="AH313" s="35"/>
      <c r="AI313" s="35"/>
      <c r="AJ313" s="35"/>
      <c r="AK313" s="35"/>
      <c r="AL313" s="35"/>
      <c r="AM313" s="35"/>
      <c r="AN313" s="36"/>
      <c r="AO313" s="36"/>
      <c r="AP313" s="36"/>
      <c r="AQ313" s="36"/>
      <c r="AR313" s="36"/>
      <c r="AS313" s="36"/>
      <c r="AT313" s="36"/>
      <c r="AU313" s="36"/>
      <c r="AV313" s="36"/>
      <c r="AW313" s="36"/>
      <c r="AX313" s="36"/>
      <c r="AY313" s="36"/>
      <c r="AZ313" s="36"/>
      <c r="BA313" s="36"/>
      <c r="BB313" s="36"/>
      <c r="BC313" s="36"/>
      <c r="BD313" s="36"/>
      <c r="BE313" s="36"/>
    </row>
    <row r="314" spans="2:57" s="30" customFormat="1" ht="15" x14ac:dyDescent="0.2">
      <c r="B314" s="166" t="s">
        <v>520</v>
      </c>
      <c r="C314" s="150"/>
      <c r="D314" s="81" t="str">
        <f t="shared" ref="D314:D315" si="1">IF(ISBLANK(C314),"%","")</f>
        <v>%</v>
      </c>
      <c r="E314" s="33"/>
      <c r="F314" s="33"/>
      <c r="G314" s="33"/>
      <c r="H314" s="81"/>
      <c r="J314" s="32" t="s">
        <v>508</v>
      </c>
      <c r="K314" s="92" t="str">
        <f>IF(ISNUMBER(L314),L314,"")</f>
        <v/>
      </c>
      <c r="L314" s="181"/>
      <c r="M314" s="40" t="s">
        <v>248</v>
      </c>
      <c r="N314" s="40"/>
      <c r="O314" s="259"/>
      <c r="Q314" s="34"/>
      <c r="R314" s="105" t="str">
        <f>IF(AND(ISNUMBER(K314),ISNUMBER(C314)),-K314*C314*C313,"")</f>
        <v/>
      </c>
      <c r="S314" s="98" t="s">
        <v>160</v>
      </c>
      <c r="T314" s="131" t="s">
        <v>348</v>
      </c>
      <c r="U314" s="35"/>
      <c r="V314" s="35"/>
      <c r="W314" s="35"/>
      <c r="X314" s="35"/>
      <c r="Y314" s="35"/>
      <c r="Z314" s="35"/>
      <c r="AA314" s="35"/>
      <c r="AB314" s="35"/>
      <c r="AC314" s="35"/>
      <c r="AD314" s="35"/>
      <c r="AE314" s="35"/>
      <c r="AF314" s="35"/>
      <c r="AG314" s="35"/>
      <c r="AH314" s="35"/>
      <c r="AI314" s="35"/>
      <c r="AJ314" s="35"/>
      <c r="AK314" s="35"/>
      <c r="AL314" s="35"/>
      <c r="AM314" s="35"/>
      <c r="AN314" s="36"/>
      <c r="AO314" s="36"/>
      <c r="AP314" s="36"/>
      <c r="AQ314" s="36"/>
      <c r="AR314" s="36"/>
      <c r="AS314" s="36"/>
      <c r="AT314" s="36"/>
      <c r="AU314" s="36"/>
      <c r="AV314" s="36"/>
      <c r="AW314" s="36"/>
      <c r="AX314" s="36"/>
      <c r="AY314" s="36"/>
      <c r="AZ314" s="36"/>
      <c r="BA314" s="36"/>
      <c r="BB314" s="36"/>
      <c r="BC314" s="36"/>
      <c r="BD314" s="36"/>
      <c r="BE314" s="36"/>
    </row>
    <row r="315" spans="2:57" s="30" customFormat="1" ht="15" x14ac:dyDescent="0.2">
      <c r="B315" s="166" t="s">
        <v>519</v>
      </c>
      <c r="C315" s="150"/>
      <c r="D315" s="81" t="str">
        <f t="shared" si="1"/>
        <v>%</v>
      </c>
      <c r="E315" s="33"/>
      <c r="F315" s="33"/>
      <c r="G315" s="33"/>
      <c r="H315" s="81"/>
      <c r="J315" s="32" t="s">
        <v>512</v>
      </c>
      <c r="K315" s="92" t="str">
        <f>IF(ISNUMBER(L315),L315,"")</f>
        <v/>
      </c>
      <c r="L315" s="181"/>
      <c r="M315" s="40" t="s">
        <v>248</v>
      </c>
      <c r="N315" s="40"/>
      <c r="O315" s="259"/>
      <c r="Q315" s="34"/>
      <c r="R315" s="105" t="str">
        <f>IF(AND(ISNUMBER(K315),ISNUMBER(C315)),-K315*C315*C313,"")</f>
        <v/>
      </c>
      <c r="S315" s="98" t="s">
        <v>160</v>
      </c>
      <c r="T315" s="131" t="s">
        <v>348</v>
      </c>
      <c r="U315" s="35"/>
      <c r="V315" s="35"/>
      <c r="W315" s="35"/>
      <c r="X315" s="35"/>
      <c r="Y315" s="35"/>
      <c r="Z315" s="35"/>
      <c r="AA315" s="35"/>
      <c r="AB315" s="35"/>
      <c r="AC315" s="35"/>
      <c r="AD315" s="35"/>
      <c r="AE315" s="35"/>
      <c r="AF315" s="35"/>
      <c r="AG315" s="35"/>
      <c r="AH315" s="35"/>
      <c r="AI315" s="35"/>
      <c r="AJ315" s="35"/>
      <c r="AK315" s="35"/>
      <c r="AL315" s="35"/>
      <c r="AM315" s="35"/>
      <c r="AN315" s="36"/>
      <c r="AO315" s="36"/>
      <c r="AP315" s="36"/>
      <c r="AQ315" s="36"/>
      <c r="AR315" s="36"/>
      <c r="AS315" s="36"/>
      <c r="AT315" s="36"/>
      <c r="AU315" s="36"/>
      <c r="AV315" s="36"/>
      <c r="AW315" s="36"/>
      <c r="AX315" s="36"/>
      <c r="AY315" s="36"/>
      <c r="AZ315" s="36"/>
      <c r="BA315" s="36"/>
      <c r="BB315" s="36"/>
      <c r="BC315" s="36"/>
      <c r="BD315" s="36"/>
      <c r="BE315" s="36"/>
    </row>
    <row r="316" spans="2:57" s="30" customFormat="1" ht="15" x14ac:dyDescent="0.2">
      <c r="B316" s="132" t="s">
        <v>506</v>
      </c>
      <c r="C316" s="64"/>
      <c r="D316" s="81" t="s">
        <v>52</v>
      </c>
      <c r="G316" s="33"/>
      <c r="H316" s="81"/>
      <c r="J316" s="32" t="s">
        <v>347</v>
      </c>
      <c r="K316" s="134">
        <f>IF(ISNUMBER(L316),L316,Muut!$F$31)</f>
        <v>33.857142857142854</v>
      </c>
      <c r="L316" s="61"/>
      <c r="M316" s="40" t="s">
        <v>248</v>
      </c>
      <c r="N316" s="40"/>
      <c r="O316" s="259"/>
      <c r="Q316" s="34"/>
      <c r="R316" s="105" t="str">
        <f>IF(AND(ISNUMBER(K316),ISNUMBER(C316)),K316*C316,"")</f>
        <v/>
      </c>
      <c r="S316" s="98" t="s">
        <v>160</v>
      </c>
      <c r="T316" s="35"/>
      <c r="U316" s="35"/>
      <c r="V316" s="35"/>
      <c r="W316" s="35"/>
      <c r="X316" s="35"/>
      <c r="Y316" s="35"/>
      <c r="Z316" s="35"/>
      <c r="AA316" s="35"/>
      <c r="AB316" s="35"/>
      <c r="AC316" s="35"/>
      <c r="AD316" s="35"/>
      <c r="AE316" s="35"/>
      <c r="AF316" s="35"/>
      <c r="AG316" s="35"/>
      <c r="AH316" s="35"/>
      <c r="AI316" s="35"/>
      <c r="AJ316" s="35"/>
      <c r="AK316" s="35"/>
      <c r="AL316" s="35"/>
      <c r="AM316" s="35"/>
      <c r="AN316" s="36"/>
      <c r="AO316" s="36"/>
      <c r="AP316" s="36"/>
      <c r="AQ316" s="36"/>
      <c r="AR316" s="36"/>
      <c r="AS316" s="36"/>
      <c r="AT316" s="36"/>
      <c r="AU316" s="36"/>
      <c r="AV316" s="36"/>
      <c r="AW316" s="36"/>
      <c r="AX316" s="36"/>
      <c r="AY316" s="36"/>
      <c r="AZ316" s="36"/>
      <c r="BA316" s="36"/>
      <c r="BB316" s="36"/>
      <c r="BC316" s="36"/>
      <c r="BD316" s="36"/>
      <c r="BE316" s="36"/>
    </row>
    <row r="317" spans="2:57" s="30" customFormat="1" ht="15" x14ac:dyDescent="0.2">
      <c r="B317" s="166" t="s">
        <v>520</v>
      </c>
      <c r="C317" s="150"/>
      <c r="D317" s="81" t="str">
        <f t="shared" ref="D317:D318" si="2">IF(ISBLANK(C317),"%","")</f>
        <v>%</v>
      </c>
      <c r="E317" s="33"/>
      <c r="F317" s="33"/>
      <c r="G317" s="33"/>
      <c r="H317" s="81"/>
      <c r="J317" s="32" t="s">
        <v>508</v>
      </c>
      <c r="K317" s="92" t="str">
        <f>IF(ISNUMBER(L317),L317,"")</f>
        <v/>
      </c>
      <c r="L317" s="181"/>
      <c r="M317" s="40" t="s">
        <v>248</v>
      </c>
      <c r="N317" s="40"/>
      <c r="O317" s="259"/>
      <c r="Q317" s="34"/>
      <c r="R317" s="105" t="str">
        <f>IF(AND(ISNUMBER(K317),ISNUMBER(C317)),-K317*C317*C316,"")</f>
        <v/>
      </c>
      <c r="S317" s="98" t="s">
        <v>160</v>
      </c>
      <c r="T317" s="131" t="s">
        <v>348</v>
      </c>
      <c r="U317" s="35"/>
      <c r="V317" s="35"/>
      <c r="W317" s="35"/>
      <c r="X317" s="35"/>
      <c r="Y317" s="35"/>
      <c r="Z317" s="35"/>
      <c r="AA317" s="35"/>
      <c r="AB317" s="35"/>
      <c r="AC317" s="35"/>
      <c r="AD317" s="35"/>
      <c r="AE317" s="35"/>
      <c r="AF317" s="35"/>
      <c r="AG317" s="35"/>
      <c r="AH317" s="35"/>
      <c r="AI317" s="35"/>
      <c r="AJ317" s="35"/>
      <c r="AK317" s="35"/>
      <c r="AL317" s="35"/>
      <c r="AM317" s="35"/>
      <c r="AN317" s="36"/>
      <c r="AO317" s="36"/>
      <c r="AP317" s="36"/>
      <c r="AQ317" s="36"/>
      <c r="AR317" s="36"/>
      <c r="AS317" s="36"/>
      <c r="AT317" s="36"/>
      <c r="AU317" s="36"/>
      <c r="AV317" s="36"/>
      <c r="AW317" s="36"/>
      <c r="AX317" s="36"/>
      <c r="AY317" s="36"/>
      <c r="AZ317" s="36"/>
      <c r="BA317" s="36"/>
      <c r="BB317" s="36"/>
      <c r="BC317" s="36"/>
      <c r="BD317" s="36"/>
      <c r="BE317" s="36"/>
    </row>
    <row r="318" spans="2:57" s="30" customFormat="1" ht="15" x14ac:dyDescent="0.2">
      <c r="B318" s="166" t="s">
        <v>519</v>
      </c>
      <c r="C318" s="150"/>
      <c r="D318" s="81" t="str">
        <f t="shared" si="2"/>
        <v>%</v>
      </c>
      <c r="E318" s="33"/>
      <c r="F318" s="33"/>
      <c r="G318" s="33"/>
      <c r="H318" s="81"/>
      <c r="J318" s="32" t="s">
        <v>512</v>
      </c>
      <c r="K318" s="92" t="str">
        <f>IF(ISNUMBER(L318),L318,"")</f>
        <v/>
      </c>
      <c r="L318" s="181"/>
      <c r="M318" s="40" t="s">
        <v>248</v>
      </c>
      <c r="N318" s="40"/>
      <c r="O318" s="259"/>
      <c r="Q318" s="34"/>
      <c r="R318" s="105" t="str">
        <f>IF(AND(ISNUMBER(K318),ISNUMBER(C318)),-K318*C318*C316,"")</f>
        <v/>
      </c>
      <c r="S318" s="98" t="s">
        <v>160</v>
      </c>
      <c r="T318" s="131" t="s">
        <v>348</v>
      </c>
      <c r="U318" s="35"/>
      <c r="V318" s="35"/>
      <c r="W318" s="35"/>
      <c r="X318" s="35"/>
      <c r="Y318" s="35"/>
      <c r="Z318" s="35"/>
      <c r="AA318" s="35"/>
      <c r="AB318" s="35"/>
      <c r="AC318" s="35"/>
      <c r="AD318" s="35"/>
      <c r="AE318" s="35"/>
      <c r="AF318" s="35"/>
      <c r="AG318" s="35"/>
      <c r="AH318" s="35"/>
      <c r="AI318" s="35"/>
      <c r="AJ318" s="35"/>
      <c r="AK318" s="35"/>
      <c r="AL318" s="35"/>
      <c r="AM318" s="35"/>
      <c r="AN318" s="36"/>
      <c r="AO318" s="36"/>
      <c r="AP318" s="36"/>
      <c r="AQ318" s="36"/>
      <c r="AR318" s="36"/>
      <c r="AS318" s="36"/>
      <c r="AT318" s="36"/>
      <c r="AU318" s="36"/>
      <c r="AV318" s="36"/>
      <c r="AW318" s="36"/>
      <c r="AX318" s="36"/>
      <c r="AY318" s="36"/>
      <c r="AZ318" s="36"/>
      <c r="BA318" s="36"/>
      <c r="BB318" s="36"/>
      <c r="BC318" s="36"/>
      <c r="BD318" s="36"/>
      <c r="BE318" s="36"/>
    </row>
    <row r="319" spans="2:57" s="30" customFormat="1" ht="15" x14ac:dyDescent="0.2">
      <c r="B319" s="132" t="s">
        <v>507</v>
      </c>
      <c r="C319" s="64"/>
      <c r="D319" s="81" t="s">
        <v>52</v>
      </c>
      <c r="G319" s="33"/>
      <c r="H319" s="81"/>
      <c r="J319" s="32" t="s">
        <v>347</v>
      </c>
      <c r="K319" s="134">
        <f>IF(ISNUMBER(L319),L319,Muut!$F$31)</f>
        <v>33.857142857142854</v>
      </c>
      <c r="L319" s="61"/>
      <c r="M319" s="40" t="s">
        <v>248</v>
      </c>
      <c r="N319" s="40"/>
      <c r="O319" s="259"/>
      <c r="Q319" s="34"/>
      <c r="R319" s="105" t="str">
        <f>IF(AND(ISNUMBER(K319),ISNUMBER(C319)),K319*C319,"")</f>
        <v/>
      </c>
      <c r="S319" s="98" t="s">
        <v>160</v>
      </c>
      <c r="T319" s="35"/>
      <c r="U319" s="35"/>
      <c r="V319" s="35"/>
      <c r="W319" s="35"/>
      <c r="X319" s="35"/>
      <c r="Y319" s="35"/>
      <c r="Z319" s="35"/>
      <c r="AA319" s="35"/>
      <c r="AB319" s="35"/>
      <c r="AC319" s="35"/>
      <c r="AD319" s="35"/>
      <c r="AE319" s="35"/>
      <c r="AF319" s="35"/>
      <c r="AG319" s="35"/>
      <c r="AH319" s="35"/>
      <c r="AI319" s="35"/>
      <c r="AJ319" s="35"/>
      <c r="AK319" s="35"/>
      <c r="AL319" s="35"/>
      <c r="AM319" s="35"/>
      <c r="AN319" s="36"/>
      <c r="AO319" s="36"/>
      <c r="AP319" s="36"/>
      <c r="AQ319" s="36"/>
      <c r="AR319" s="36"/>
      <c r="AS319" s="36"/>
      <c r="AT319" s="36"/>
      <c r="AU319" s="36"/>
      <c r="AV319" s="36"/>
      <c r="AW319" s="36"/>
      <c r="AX319" s="36"/>
      <c r="AY319" s="36"/>
      <c r="AZ319" s="36"/>
      <c r="BA319" s="36"/>
      <c r="BB319" s="36"/>
      <c r="BC319" s="36"/>
      <c r="BD319" s="36"/>
      <c r="BE319" s="36"/>
    </row>
    <row r="320" spans="2:57" s="30" customFormat="1" ht="15" x14ac:dyDescent="0.2">
      <c r="B320" s="166" t="s">
        <v>520</v>
      </c>
      <c r="C320" s="150"/>
      <c r="D320" s="81" t="str">
        <f t="shared" ref="D320:D321" si="3">IF(ISBLANK(C320),"%","")</f>
        <v>%</v>
      </c>
      <c r="E320" s="33"/>
      <c r="F320" s="33"/>
      <c r="G320" s="33"/>
      <c r="H320" s="81"/>
      <c r="J320" s="32" t="s">
        <v>508</v>
      </c>
      <c r="K320" s="92" t="str">
        <f>IF(ISNUMBER(L320),L320,"")</f>
        <v/>
      </c>
      <c r="L320" s="181"/>
      <c r="M320" s="40" t="s">
        <v>248</v>
      </c>
      <c r="N320" s="40"/>
      <c r="O320" s="259"/>
      <c r="Q320" s="34"/>
      <c r="R320" s="105" t="str">
        <f>IF(AND(ISNUMBER(K320),ISNUMBER(C320)),-K320*C320*C319,"")</f>
        <v/>
      </c>
      <c r="S320" s="98" t="s">
        <v>160</v>
      </c>
      <c r="T320" s="131" t="s">
        <v>348</v>
      </c>
      <c r="U320" s="35"/>
      <c r="V320" s="35"/>
      <c r="W320" s="35"/>
      <c r="X320" s="35"/>
      <c r="Y320" s="35"/>
      <c r="Z320" s="35"/>
      <c r="AA320" s="35"/>
      <c r="AB320" s="35"/>
      <c r="AC320" s="35"/>
      <c r="AD320" s="35"/>
      <c r="AE320" s="35"/>
      <c r="AF320" s="35"/>
      <c r="AG320" s="35"/>
      <c r="AH320" s="35"/>
      <c r="AI320" s="35"/>
      <c r="AJ320" s="35"/>
      <c r="AK320" s="35"/>
      <c r="AL320" s="35"/>
      <c r="AM320" s="35"/>
      <c r="AN320" s="36"/>
      <c r="AO320" s="36"/>
      <c r="AP320" s="36"/>
      <c r="AQ320" s="36"/>
      <c r="AR320" s="36"/>
      <c r="AS320" s="36"/>
      <c r="AT320" s="36"/>
      <c r="AU320" s="36"/>
      <c r="AV320" s="36"/>
      <c r="AW320" s="36"/>
      <c r="AX320" s="36"/>
      <c r="AY320" s="36"/>
      <c r="AZ320" s="36"/>
      <c r="BA320" s="36"/>
      <c r="BB320" s="36"/>
      <c r="BC320" s="36"/>
      <c r="BD320" s="36"/>
      <c r="BE320" s="36"/>
    </row>
    <row r="321" spans="2:59" s="30" customFormat="1" ht="15" x14ac:dyDescent="0.2">
      <c r="B321" s="166" t="s">
        <v>519</v>
      </c>
      <c r="C321" s="150"/>
      <c r="D321" s="81" t="str">
        <f t="shared" si="3"/>
        <v>%</v>
      </c>
      <c r="E321" s="33"/>
      <c r="F321" s="33"/>
      <c r="G321" s="33"/>
      <c r="H321" s="81"/>
      <c r="J321" s="32" t="s">
        <v>512</v>
      </c>
      <c r="K321" s="92" t="str">
        <f>IF(ISNUMBER(L321),L321,"")</f>
        <v/>
      </c>
      <c r="L321" s="181"/>
      <c r="M321" s="40" t="s">
        <v>248</v>
      </c>
      <c r="N321" s="40"/>
      <c r="O321" s="259"/>
      <c r="Q321" s="34"/>
      <c r="R321" s="105" t="str">
        <f>IF(AND(ISNUMBER(K321),ISNUMBER(C321)),-K321*C321*C319,"")</f>
        <v/>
      </c>
      <c r="S321" s="98" t="s">
        <v>160</v>
      </c>
      <c r="T321" s="131" t="s">
        <v>348</v>
      </c>
      <c r="U321" s="35"/>
      <c r="V321" s="35"/>
      <c r="W321" s="35"/>
      <c r="X321" s="35"/>
      <c r="Y321" s="35"/>
      <c r="Z321" s="35"/>
      <c r="AA321" s="35"/>
      <c r="AB321" s="35"/>
      <c r="AC321" s="35"/>
      <c r="AD321" s="35"/>
      <c r="AE321" s="35"/>
      <c r="AF321" s="35"/>
      <c r="AG321" s="35"/>
      <c r="AH321" s="35"/>
      <c r="AI321" s="35"/>
      <c r="AJ321" s="35"/>
      <c r="AK321" s="35"/>
      <c r="AL321" s="35"/>
      <c r="AM321" s="35"/>
      <c r="AN321" s="36"/>
      <c r="AO321" s="36"/>
      <c r="AP321" s="36"/>
      <c r="AQ321" s="36"/>
      <c r="AR321" s="36"/>
      <c r="AS321" s="36"/>
      <c r="AT321" s="36"/>
      <c r="AU321" s="36"/>
      <c r="AV321" s="36"/>
      <c r="AW321" s="36"/>
      <c r="AX321" s="36"/>
      <c r="AY321" s="36"/>
      <c r="AZ321" s="36"/>
      <c r="BA321" s="36"/>
      <c r="BB321" s="36"/>
      <c r="BC321" s="36"/>
      <c r="BD321" s="36"/>
      <c r="BE321" s="36"/>
    </row>
    <row r="322" spans="2:59" s="30" customFormat="1" ht="15" x14ac:dyDescent="0.2">
      <c r="C322" s="33"/>
      <c r="D322" s="81"/>
      <c r="G322" s="33"/>
      <c r="H322" s="81"/>
      <c r="J322" s="32"/>
      <c r="K322" s="33"/>
      <c r="L322" s="33"/>
      <c r="M322" s="81"/>
      <c r="N322" s="81"/>
      <c r="O322" s="96"/>
      <c r="Q322" s="34"/>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6"/>
      <c r="AO322" s="36"/>
      <c r="AP322" s="36"/>
      <c r="AQ322" s="36"/>
      <c r="AR322" s="36"/>
      <c r="AS322" s="36"/>
      <c r="AT322" s="36"/>
      <c r="AU322" s="36"/>
      <c r="AV322" s="36"/>
      <c r="AW322" s="36"/>
      <c r="AX322" s="36"/>
      <c r="AY322" s="36"/>
      <c r="AZ322" s="36"/>
      <c r="BA322" s="36"/>
      <c r="BB322" s="36"/>
      <c r="BC322" s="36"/>
      <c r="BD322" s="36"/>
      <c r="BE322" s="36"/>
    </row>
    <row r="323" spans="2:59" s="30" customFormat="1" ht="15.75" x14ac:dyDescent="0.2">
      <c r="B323" s="8" t="s">
        <v>11</v>
      </c>
      <c r="C323" s="33"/>
      <c r="D323" s="81"/>
      <c r="G323" s="33"/>
      <c r="H323" s="81"/>
      <c r="J323" s="32"/>
      <c r="K323" s="37"/>
      <c r="L323" s="37"/>
      <c r="M323" s="81"/>
      <c r="N323" s="81"/>
      <c r="O323" s="96"/>
      <c r="Q323" s="34"/>
      <c r="R323" s="43"/>
      <c r="S323" s="35"/>
      <c r="T323" s="35"/>
      <c r="U323" s="35"/>
      <c r="V323" s="35"/>
      <c r="W323" s="43"/>
      <c r="X323" s="35"/>
      <c r="Y323" s="35"/>
      <c r="Z323" s="35"/>
      <c r="AA323" s="35"/>
      <c r="AB323" s="35"/>
      <c r="AC323" s="35"/>
      <c r="AD323" s="35"/>
      <c r="AE323" s="35"/>
      <c r="AF323" s="35"/>
      <c r="AG323" s="35"/>
      <c r="AH323" s="35"/>
      <c r="AI323" s="35"/>
      <c r="AJ323" s="35"/>
      <c r="AK323" s="35"/>
      <c r="AL323" s="35"/>
      <c r="AM323" s="35"/>
      <c r="AN323" s="36"/>
      <c r="AO323" s="36"/>
      <c r="AP323" s="36"/>
      <c r="AQ323" s="36"/>
      <c r="AR323" s="36"/>
      <c r="AS323" s="36"/>
      <c r="AT323" s="36"/>
      <c r="AU323" s="36"/>
      <c r="AV323" s="36"/>
      <c r="AW323" s="36"/>
      <c r="AX323" s="36"/>
      <c r="AY323" s="36"/>
      <c r="AZ323" s="36"/>
      <c r="BA323" s="36"/>
      <c r="BB323" s="36"/>
      <c r="BC323" s="36"/>
      <c r="BD323" s="36"/>
      <c r="BE323" s="36"/>
    </row>
    <row r="324" spans="2:59" s="30" customFormat="1" ht="15.75" x14ac:dyDescent="0.2">
      <c r="B324" s="8"/>
      <c r="C324" s="33"/>
      <c r="D324" s="81"/>
      <c r="G324" s="33"/>
      <c r="H324" s="81"/>
      <c r="J324" s="32"/>
      <c r="K324" s="37" t="s">
        <v>297</v>
      </c>
      <c r="L324" s="37" t="s">
        <v>185</v>
      </c>
      <c r="M324" s="81"/>
      <c r="N324" s="81"/>
      <c r="O324" s="96"/>
      <c r="Q324" s="34"/>
      <c r="R324" s="43" t="s">
        <v>318</v>
      </c>
      <c r="S324" s="35"/>
      <c r="T324" s="35"/>
      <c r="U324" s="35"/>
      <c r="V324" s="35"/>
      <c r="W324" s="43"/>
      <c r="X324" s="35"/>
      <c r="Y324" s="35"/>
      <c r="Z324" s="35"/>
      <c r="AA324" s="35"/>
      <c r="AB324" s="35"/>
      <c r="AC324" s="35"/>
      <c r="AD324" s="35"/>
      <c r="AE324" s="35"/>
      <c r="AF324" s="35"/>
      <c r="AG324" s="35"/>
      <c r="AH324" s="35"/>
      <c r="AI324" s="35"/>
      <c r="AJ324" s="35"/>
      <c r="AK324" s="35"/>
      <c r="AL324" s="35"/>
      <c r="AM324" s="35"/>
      <c r="AN324" s="36"/>
      <c r="AO324" s="36"/>
      <c r="AP324" s="36"/>
      <c r="AQ324" s="36"/>
      <c r="AR324" s="36"/>
      <c r="AS324" s="36"/>
      <c r="AT324" s="36"/>
      <c r="AU324" s="36"/>
      <c r="AV324" s="36"/>
      <c r="AW324" s="36"/>
      <c r="AX324" s="36"/>
      <c r="AY324" s="36"/>
      <c r="AZ324" s="36"/>
      <c r="BA324" s="36"/>
      <c r="BB324" s="36"/>
      <c r="BC324" s="36"/>
      <c r="BD324" s="36"/>
      <c r="BE324" s="36"/>
    </row>
    <row r="325" spans="2:59" s="30" customFormat="1" ht="30" x14ac:dyDescent="0.2">
      <c r="B325" s="76" t="s">
        <v>466</v>
      </c>
      <c r="C325" s="156"/>
      <c r="D325" s="81" t="s">
        <v>163</v>
      </c>
      <c r="G325" s="33"/>
      <c r="H325" s="81"/>
      <c r="J325" s="32" t="s">
        <v>513</v>
      </c>
      <c r="K325" s="92">
        <f>IF(ISNUMBER(L325),L325,Muut!$F$29*IF(OR(C326=Pudotusvalikot!$V$3,C326=Pudotusvalikot!$V$4),Muut!$E$40,IF(C326=Pudotusvalikot!$V$5,Muut!$E$41,IF(C326=Pudotusvalikot!$V$6,Muut!$E$42,Muut!$E$43))))</f>
        <v>0.22753333333333334</v>
      </c>
      <c r="L325" s="61"/>
      <c r="M325" s="40" t="s">
        <v>207</v>
      </c>
      <c r="N325" s="40"/>
      <c r="O325" s="259"/>
      <c r="Q325" s="34"/>
      <c r="R325" s="105" t="str">
        <f>IF(AND(ISNUMBER(K325),ISNUMBER(C325)),K325*C325,"")</f>
        <v/>
      </c>
      <c r="S325" s="98" t="s">
        <v>160</v>
      </c>
      <c r="T325" s="59"/>
      <c r="U325" s="59"/>
      <c r="V325" s="59"/>
      <c r="W325" s="35"/>
      <c r="X325" s="35"/>
      <c r="Y325" s="35"/>
      <c r="Z325" s="35"/>
      <c r="AA325" s="35"/>
      <c r="AB325" s="35"/>
      <c r="AC325" s="35"/>
      <c r="AD325" s="35"/>
      <c r="AE325" s="35"/>
      <c r="AF325" s="35"/>
      <c r="AG325" s="35"/>
      <c r="AH325" s="35"/>
      <c r="AI325" s="35"/>
      <c r="AJ325" s="35"/>
      <c r="AK325" s="35"/>
      <c r="AL325" s="35"/>
      <c r="AM325" s="35"/>
      <c r="AN325" s="36"/>
      <c r="AO325" s="36"/>
      <c r="AP325" s="36"/>
      <c r="AQ325" s="36"/>
      <c r="AR325" s="36"/>
      <c r="AS325" s="36"/>
      <c r="AT325" s="36"/>
      <c r="AU325" s="36"/>
      <c r="AV325" s="36"/>
      <c r="AW325" s="36"/>
      <c r="AX325" s="36"/>
      <c r="AY325" s="36"/>
      <c r="AZ325" s="36"/>
      <c r="BA325" s="36"/>
      <c r="BB325" s="36"/>
      <c r="BC325" s="36"/>
      <c r="BD325" s="36"/>
      <c r="BE325" s="36"/>
    </row>
    <row r="326" spans="2:59" s="30" customFormat="1" ht="15" x14ac:dyDescent="0.2">
      <c r="B326" s="166" t="s">
        <v>460</v>
      </c>
      <c r="C326" s="156" t="s">
        <v>223</v>
      </c>
      <c r="D326" s="33"/>
      <c r="E326" s="33"/>
      <c r="F326" s="33"/>
      <c r="G326" s="33"/>
      <c r="H326" s="57"/>
      <c r="J326" s="169"/>
      <c r="K326" s="169"/>
      <c r="L326" s="169"/>
      <c r="M326" s="40"/>
      <c r="N326" s="40"/>
      <c r="O326" s="259"/>
      <c r="Q326" s="45"/>
      <c r="R326" s="59"/>
      <c r="S326" s="98"/>
      <c r="T326" s="35"/>
      <c r="U326" s="35"/>
      <c r="V326" s="177"/>
      <c r="W326" s="177"/>
      <c r="X326" s="59"/>
      <c r="Y326" s="35"/>
      <c r="Z326" s="59"/>
      <c r="AA326" s="178"/>
      <c r="AB326" s="59"/>
      <c r="AC326" s="59"/>
      <c r="AD326" s="59"/>
      <c r="AE326" s="59"/>
      <c r="AF326" s="178"/>
      <c r="AG326" s="59"/>
      <c r="AH326" s="35"/>
      <c r="AI326" s="35"/>
      <c r="AJ326" s="35"/>
      <c r="AK326" s="104"/>
      <c r="AL326" s="35"/>
      <c r="AM326" s="35"/>
      <c r="AN326" s="36"/>
      <c r="AO326" s="36"/>
      <c r="AP326" s="36"/>
      <c r="AQ326" s="36"/>
      <c r="AR326" s="36"/>
      <c r="AS326" s="36"/>
      <c r="AT326" s="36"/>
      <c r="AU326" s="36"/>
      <c r="AV326" s="36"/>
      <c r="AW326" s="36"/>
      <c r="AX326" s="36"/>
      <c r="AY326" s="36"/>
      <c r="AZ326" s="36"/>
      <c r="BA326" s="36"/>
      <c r="BB326" s="36"/>
      <c r="BC326" s="36"/>
      <c r="BD326" s="36"/>
      <c r="BE326" s="36"/>
    </row>
    <row r="327" spans="2:59" s="30" customFormat="1" ht="45" x14ac:dyDescent="0.2">
      <c r="B327" s="76" t="s">
        <v>544</v>
      </c>
      <c r="C327" s="156"/>
      <c r="D327" s="81" t="s">
        <v>163</v>
      </c>
      <c r="G327" s="33"/>
      <c r="H327" s="81"/>
      <c r="J327" s="32" t="s">
        <v>471</v>
      </c>
      <c r="K327" s="134">
        <f>IF(ISNUMBER(L327),L327,Muut!$F$30)</f>
        <v>9.4500000000000011</v>
      </c>
      <c r="L327" s="181"/>
      <c r="M327" s="40" t="s">
        <v>207</v>
      </c>
      <c r="N327" s="40"/>
      <c r="O327" s="259"/>
      <c r="Q327" s="34"/>
      <c r="R327" s="105" t="str">
        <f>IF(AND(ISNUMBER(K327),ISNUMBER(C327)),K327*C327,"")</f>
        <v/>
      </c>
      <c r="S327" s="98" t="s">
        <v>160</v>
      </c>
      <c r="T327" s="35"/>
      <c r="U327" s="35"/>
      <c r="V327" s="35"/>
      <c r="W327" s="35"/>
      <c r="X327" s="35"/>
      <c r="Y327" s="35"/>
      <c r="Z327" s="35"/>
      <c r="AA327" s="35"/>
      <c r="AB327" s="35"/>
      <c r="AC327" s="35"/>
      <c r="AD327" s="35"/>
      <c r="AE327" s="35"/>
      <c r="AF327" s="35"/>
      <c r="AG327" s="35"/>
      <c r="AH327" s="35"/>
      <c r="AI327" s="35"/>
      <c r="AJ327" s="35"/>
      <c r="AK327" s="35"/>
      <c r="AL327" s="35"/>
      <c r="AM327" s="35"/>
      <c r="AN327" s="36"/>
      <c r="AO327" s="36"/>
      <c r="AP327" s="36"/>
      <c r="AQ327" s="36"/>
      <c r="AR327" s="36"/>
      <c r="AS327" s="36"/>
      <c r="AT327" s="36"/>
      <c r="AU327" s="36"/>
      <c r="AV327" s="36"/>
      <c r="AW327" s="36"/>
      <c r="AX327" s="36"/>
      <c r="AY327" s="36"/>
      <c r="AZ327" s="36"/>
      <c r="BA327" s="36"/>
      <c r="BB327" s="36"/>
      <c r="BC327" s="36"/>
      <c r="BD327" s="36"/>
      <c r="BE327" s="36"/>
    </row>
    <row r="328" spans="2:59" s="30" customFormat="1" ht="15" x14ac:dyDescent="0.2">
      <c r="B328" s="166" t="s">
        <v>520</v>
      </c>
      <c r="C328" s="156"/>
      <c r="D328" s="81" t="s">
        <v>8</v>
      </c>
      <c r="E328" s="33"/>
      <c r="F328" s="33"/>
      <c r="G328" s="33"/>
      <c r="H328" s="81"/>
      <c r="J328" s="32" t="s">
        <v>472</v>
      </c>
      <c r="K328" s="108">
        <f>IF(ISNUMBER(L328),L328,Muut!$F$32)</f>
        <v>9.4500000000000011</v>
      </c>
      <c r="L328" s="181"/>
      <c r="M328" s="40" t="s">
        <v>207</v>
      </c>
      <c r="N328" s="40"/>
      <c r="O328" s="259"/>
      <c r="Q328" s="34"/>
      <c r="R328" s="105" t="str">
        <f>IF(AND(ISNUMBER(K328),ISNUMBER(C327)),-K328*C327,"")</f>
        <v/>
      </c>
      <c r="S328" s="98" t="s">
        <v>160</v>
      </c>
      <c r="T328" s="98" t="s">
        <v>473</v>
      </c>
      <c r="U328" s="35"/>
      <c r="V328" s="35"/>
      <c r="W328" s="35"/>
      <c r="X328" s="35"/>
      <c r="Y328" s="35"/>
      <c r="Z328" s="35"/>
      <c r="AA328" s="35"/>
      <c r="AB328" s="35"/>
      <c r="AC328" s="35"/>
      <c r="AD328" s="35"/>
      <c r="AE328" s="35"/>
      <c r="AF328" s="35"/>
      <c r="AG328" s="35"/>
      <c r="AH328" s="35"/>
      <c r="AI328" s="35"/>
      <c r="AJ328" s="35"/>
      <c r="AK328" s="35"/>
      <c r="AL328" s="35"/>
      <c r="AM328" s="35"/>
      <c r="AN328" s="36"/>
      <c r="AO328" s="36"/>
      <c r="AP328" s="36"/>
      <c r="AQ328" s="36"/>
      <c r="AR328" s="36"/>
      <c r="AS328" s="36"/>
      <c r="AT328" s="36"/>
      <c r="AU328" s="36"/>
      <c r="AV328" s="36"/>
      <c r="AW328" s="36"/>
      <c r="AX328" s="36"/>
      <c r="AY328" s="36"/>
      <c r="AZ328" s="36"/>
      <c r="BA328" s="36"/>
      <c r="BB328" s="36"/>
      <c r="BC328" s="36"/>
      <c r="BD328" s="36"/>
      <c r="BE328" s="36"/>
    </row>
    <row r="329" spans="2:59" s="30" customFormat="1" ht="15" x14ac:dyDescent="0.2">
      <c r="B329" s="73"/>
      <c r="C329" s="33"/>
      <c r="D329" s="81"/>
      <c r="G329" s="33"/>
      <c r="H329" s="81"/>
      <c r="J329" s="32"/>
      <c r="P329" s="67"/>
      <c r="Q329" s="104"/>
      <c r="R329" s="94"/>
      <c r="S329" s="104"/>
      <c r="T329" s="36"/>
      <c r="U329" s="35"/>
      <c r="V329" s="35"/>
      <c r="W329" s="35"/>
      <c r="X329" s="35"/>
      <c r="Y329" s="35"/>
      <c r="Z329" s="35"/>
      <c r="AA329" s="35"/>
      <c r="AB329" s="35"/>
      <c r="AC329" s="35"/>
      <c r="AD329" s="35"/>
      <c r="AE329" s="35"/>
      <c r="AF329" s="35"/>
      <c r="AG329" s="35"/>
      <c r="AH329" s="35"/>
      <c r="AI329" s="35"/>
      <c r="AJ329" s="35"/>
      <c r="AK329" s="35"/>
      <c r="AL329" s="35"/>
      <c r="AM329" s="35"/>
      <c r="AN329" s="35"/>
      <c r="AO329" s="35"/>
      <c r="AP329" s="36"/>
      <c r="AQ329" s="36"/>
      <c r="AR329" s="36"/>
      <c r="AS329" s="36"/>
      <c r="AT329" s="36"/>
      <c r="AU329" s="36"/>
      <c r="AV329" s="36"/>
      <c r="AW329" s="36"/>
      <c r="AX329" s="36"/>
      <c r="AY329" s="36"/>
      <c r="AZ329" s="36"/>
      <c r="BA329" s="36"/>
      <c r="BB329" s="36"/>
      <c r="BC329" s="36"/>
      <c r="BD329" s="36"/>
      <c r="BE329" s="36"/>
      <c r="BF329" s="36"/>
      <c r="BG329" s="36"/>
    </row>
    <row r="330" spans="2:59" s="192" customFormat="1" ht="23.25" x14ac:dyDescent="0.2">
      <c r="B330" s="193" t="s">
        <v>558</v>
      </c>
      <c r="C330" s="194"/>
      <c r="D330" s="195"/>
      <c r="G330" s="194"/>
      <c r="H330" s="195"/>
      <c r="J330" s="196"/>
      <c r="P330" s="197"/>
      <c r="Q330" s="198"/>
      <c r="R330" s="199"/>
      <c r="S330" s="198"/>
      <c r="T330" s="200"/>
      <c r="U330" s="201"/>
      <c r="V330" s="201"/>
      <c r="W330" s="201"/>
      <c r="X330" s="201"/>
      <c r="Y330" s="201"/>
      <c r="Z330" s="201"/>
      <c r="AA330" s="201"/>
      <c r="AB330" s="201"/>
      <c r="AC330" s="201"/>
      <c r="AD330" s="201"/>
      <c r="AE330" s="201"/>
      <c r="AF330" s="201"/>
      <c r="AG330" s="201"/>
      <c r="AH330" s="201"/>
      <c r="AI330" s="201"/>
      <c r="AJ330" s="201"/>
      <c r="AK330" s="201"/>
      <c r="AL330" s="201"/>
      <c r="AM330" s="201"/>
      <c r="AN330" s="201"/>
      <c r="AO330" s="201"/>
      <c r="AP330" s="200"/>
      <c r="AQ330" s="200"/>
      <c r="AR330" s="200"/>
      <c r="AS330" s="200"/>
      <c r="AT330" s="200"/>
      <c r="AU330" s="200"/>
      <c r="AV330" s="200"/>
      <c r="AW330" s="200"/>
      <c r="AX330" s="200"/>
      <c r="AY330" s="200"/>
      <c r="AZ330" s="200"/>
      <c r="BA330" s="200"/>
      <c r="BB330" s="200"/>
      <c r="BC330" s="200"/>
      <c r="BD330" s="200"/>
      <c r="BE330" s="200"/>
      <c r="BF330" s="200"/>
      <c r="BG330" s="200"/>
    </row>
    <row r="331" spans="2:59" s="30" customFormat="1" ht="15" x14ac:dyDescent="0.2">
      <c r="C331" s="33"/>
      <c r="D331" s="81"/>
      <c r="G331" s="33"/>
      <c r="H331" s="81"/>
      <c r="P331" s="67"/>
      <c r="Q331" s="104"/>
      <c r="R331" s="94"/>
      <c r="S331" s="104"/>
      <c r="T331" s="36"/>
      <c r="U331" s="35"/>
      <c r="V331" s="35"/>
      <c r="W331" s="35"/>
      <c r="X331" s="35"/>
      <c r="Y331" s="35"/>
      <c r="Z331" s="35"/>
      <c r="AA331" s="35"/>
      <c r="AB331" s="35"/>
      <c r="AC331" s="35"/>
      <c r="AD331" s="35"/>
      <c r="AE331" s="35"/>
      <c r="AF331" s="35"/>
      <c r="AG331" s="35"/>
      <c r="AH331" s="35"/>
      <c r="AI331" s="35"/>
      <c r="AJ331" s="35"/>
      <c r="AK331" s="35"/>
      <c r="AL331" s="35"/>
      <c r="AM331" s="35"/>
      <c r="AN331" s="35"/>
      <c r="AO331" s="35"/>
      <c r="AP331" s="36"/>
      <c r="AQ331" s="36"/>
      <c r="AR331" s="36"/>
      <c r="AS331" s="36"/>
      <c r="AT331" s="36"/>
      <c r="AU331" s="36"/>
      <c r="AV331" s="36"/>
      <c r="AW331" s="36"/>
      <c r="AX331" s="36"/>
      <c r="AY331" s="36"/>
      <c r="AZ331" s="36"/>
      <c r="BA331" s="36"/>
      <c r="BB331" s="36"/>
      <c r="BC331" s="36"/>
      <c r="BD331" s="36"/>
      <c r="BE331" s="36"/>
      <c r="BF331" s="36"/>
      <c r="BG331" s="36"/>
    </row>
    <row r="332" spans="2:59" s="289" customFormat="1" ht="18" x14ac:dyDescent="0.2">
      <c r="B332" s="286" t="s">
        <v>42</v>
      </c>
      <c r="C332" s="287"/>
      <c r="D332" s="288"/>
      <c r="G332" s="287"/>
      <c r="H332" s="288"/>
      <c r="K332" s="287"/>
      <c r="L332" s="287"/>
      <c r="M332" s="288"/>
      <c r="N332" s="288"/>
      <c r="O332" s="291"/>
      <c r="P332" s="311"/>
      <c r="Q332" s="295"/>
      <c r="R332" s="289" t="str">
        <f>IF(OR(ISNUMBER(#REF!),ISNUMBER(#REF!),ISNUMBER(#REF!)),SUM(#REF!,#REF!,#REF!),"")</f>
        <v/>
      </c>
      <c r="S332" s="294"/>
      <c r="T332" s="294"/>
      <c r="U332" s="294"/>
      <c r="V332" s="294"/>
      <c r="W332" s="294"/>
      <c r="X332" s="294"/>
      <c r="Y332" s="294"/>
      <c r="Z332" s="294"/>
      <c r="AA332" s="294"/>
      <c r="AB332" s="294"/>
      <c r="AC332" s="294"/>
      <c r="AD332" s="294"/>
      <c r="AE332" s="294"/>
      <c r="AF332" s="294"/>
      <c r="AG332" s="294"/>
      <c r="AH332" s="294"/>
      <c r="AI332" s="294"/>
      <c r="AJ332" s="294"/>
      <c r="AK332" s="294"/>
      <c r="AL332" s="294"/>
      <c r="AM332" s="294"/>
      <c r="AN332" s="295"/>
      <c r="AO332" s="295"/>
      <c r="AP332" s="295"/>
      <c r="AQ332" s="295"/>
      <c r="AR332" s="295"/>
      <c r="AS332" s="295"/>
      <c r="AT332" s="295"/>
      <c r="AU332" s="295"/>
      <c r="AV332" s="295"/>
      <c r="AW332" s="295"/>
      <c r="AX332" s="295"/>
      <c r="AY332" s="295"/>
      <c r="AZ332" s="295"/>
      <c r="BA332" s="295"/>
      <c r="BB332" s="295"/>
      <c r="BC332" s="295"/>
      <c r="BD332" s="295"/>
      <c r="BE332" s="295"/>
    </row>
    <row r="333" spans="2:59" s="30" customFormat="1" ht="15.75" x14ac:dyDescent="0.2">
      <c r="B333" s="8"/>
      <c r="C333" s="33"/>
      <c r="D333" s="81"/>
      <c r="G333" s="33" t="s">
        <v>43</v>
      </c>
      <c r="H333" s="81"/>
      <c r="K333" s="37" t="s">
        <v>297</v>
      </c>
      <c r="L333" s="37" t="s">
        <v>185</v>
      </c>
      <c r="M333" s="81"/>
      <c r="N333" s="81"/>
      <c r="O333" s="249" t="s">
        <v>584</v>
      </c>
      <c r="Q333" s="34"/>
      <c r="R333" s="43" t="s">
        <v>318</v>
      </c>
      <c r="S333" s="35"/>
      <c r="T333" s="35" t="s">
        <v>238</v>
      </c>
      <c r="U333" s="35" t="s">
        <v>239</v>
      </c>
      <c r="V333" s="35" t="s">
        <v>240</v>
      </c>
      <c r="W333" s="35" t="s">
        <v>243</v>
      </c>
      <c r="X333" s="35" t="s">
        <v>241</v>
      </c>
      <c r="Y333" s="43" t="s">
        <v>242</v>
      </c>
      <c r="Z333" s="35" t="s">
        <v>244</v>
      </c>
      <c r="AA333" s="104"/>
      <c r="AB333" s="35"/>
      <c r="AC333" s="35"/>
      <c r="AD333" s="35"/>
      <c r="AE333" s="35"/>
      <c r="AF333" s="35"/>
      <c r="AG333" s="35"/>
      <c r="AH333" s="35"/>
      <c r="AI333" s="35"/>
      <c r="AJ333" s="35"/>
      <c r="AK333" s="35"/>
      <c r="AL333" s="35"/>
      <c r="AM333" s="35"/>
      <c r="AN333" s="36"/>
      <c r="AO333" s="36"/>
      <c r="AP333" s="36"/>
      <c r="AQ333" s="36"/>
      <c r="AR333" s="36"/>
      <c r="AS333" s="36"/>
      <c r="AT333" s="36"/>
      <c r="AU333" s="36"/>
      <c r="AV333" s="36"/>
      <c r="AW333" s="36"/>
      <c r="AX333" s="36"/>
      <c r="AY333" s="36"/>
      <c r="AZ333" s="36"/>
      <c r="BA333" s="36"/>
      <c r="BB333" s="36"/>
      <c r="BC333" s="36"/>
      <c r="BD333" s="36"/>
      <c r="BE333" s="36"/>
    </row>
    <row r="334" spans="2:59" s="30" customFormat="1" ht="15" x14ac:dyDescent="0.2">
      <c r="B334" s="76" t="s">
        <v>526</v>
      </c>
      <c r="C334" s="156"/>
      <c r="D334" s="81" t="s">
        <v>215</v>
      </c>
      <c r="G334" s="156"/>
      <c r="H334" s="81" t="s">
        <v>44</v>
      </c>
      <c r="J334" s="32" t="s">
        <v>514</v>
      </c>
      <c r="K334" s="108" t="str">
        <f>IFERROR(IF(ISNUMBER(L334),L334,VLOOKUP(C336,Kalusto!$C$100:$E$105,3,FALSE)),"--")</f>
        <v>--</v>
      </c>
      <c r="L334" s="61"/>
      <c r="M334" s="75" t="str">
        <f>IF(C336=Pudotusvalikot!$J$9,"kWh/100 km",IF(C336=Pudotusvalikot!$J$6,"kg/100 km","l/100 km"))</f>
        <v>l/100 km</v>
      </c>
      <c r="N334" s="75"/>
      <c r="O334" s="250"/>
      <c r="Q334" s="34"/>
      <c r="R334" s="105">
        <f>SUM(U334:Z334)</f>
        <v>0</v>
      </c>
      <c r="S334" s="98" t="s">
        <v>160</v>
      </c>
      <c r="T334" s="46">
        <f>IF(ISNUMBER(C335*C334*G334),C335*C334*G334,"")</f>
        <v>0</v>
      </c>
      <c r="U334" s="48">
        <f>IF(ISNUMBER(T334),IF(C336=Pudotusvalikot!$J$5,(Muut!$F$16+Muut!$F$19)*(T334*K334/100),0),"")</f>
        <v>0</v>
      </c>
      <c r="V334" s="48">
        <f>IF(ISNUMBER(T334),IF(C336=Pudotusvalikot!$J$4,(Muut!$F$15+Muut!$F$18)*(T334*K334/100),0),"")</f>
        <v>0</v>
      </c>
      <c r="W334" s="48">
        <f>IF(ISNUMBER(T334),IF(C336=Pudotusvalikot!$J$6,(Muut!$F$17+Muut!$F$20)*(T334*K334/100),0),"")</f>
        <v>0</v>
      </c>
      <c r="X334" s="48">
        <f>IF(ISNUMBER(T334),IF(C336=Pudotusvalikot!$J$7,((Muut!$F$16+Muut!$F$19)*(100%-Kalusto!$O$103)+(Muut!$F$15+Muut!$F$18)*Kalusto!$O$103)*(T334*K334/100),0),"")</f>
        <v>0</v>
      </c>
      <c r="Y334" s="72">
        <f>IF(ISNUMBER(T334),IF(C336=Pudotusvalikot!$J$8,((Kalusto!$K$104)*(100%-Kalusto!$O$104)+(Kalusto!$M$104)*Kalusto!$O$104)*(Muut!$F$14+Muut!$F$13)/100*T334/1000+((Kalusto!$G$104)*(100%-Kalusto!$O$104)+(Kalusto!$I$104)*Kalusto!$O$104)*(K334+Muut!$F$19)/100*T334,0),"")</f>
        <v>0</v>
      </c>
      <c r="Z334" s="72">
        <f>IF(ISNUMBER(T334),IF(C336=Pudotusvalikot!$J$9,Kalusto!$E$105*(K334+Muut!$F$13)/100*T334/1000,0),"")</f>
        <v>0</v>
      </c>
      <c r="AA334" s="104"/>
      <c r="AB334" s="35"/>
      <c r="AC334" s="35"/>
      <c r="AD334" s="35"/>
      <c r="AE334" s="35"/>
      <c r="AF334" s="35"/>
      <c r="AG334" s="35"/>
      <c r="AH334" s="35"/>
      <c r="AI334" s="35"/>
      <c r="AJ334" s="35"/>
      <c r="AK334" s="35"/>
      <c r="AL334" s="35"/>
      <c r="AM334" s="35"/>
      <c r="AN334" s="36"/>
      <c r="AO334" s="36"/>
      <c r="AP334" s="36"/>
      <c r="AQ334" s="36"/>
      <c r="AR334" s="36"/>
      <c r="AS334" s="36"/>
      <c r="AT334" s="36"/>
      <c r="AU334" s="36"/>
      <c r="AV334" s="36"/>
      <c r="AW334" s="36"/>
      <c r="AX334" s="36"/>
      <c r="AY334" s="36"/>
      <c r="AZ334" s="36"/>
      <c r="BA334" s="36"/>
      <c r="BB334" s="36"/>
      <c r="BC334" s="36"/>
      <c r="BD334" s="36"/>
      <c r="BE334" s="36"/>
    </row>
    <row r="335" spans="2:59" s="30" customFormat="1" ht="15" x14ac:dyDescent="0.2">
      <c r="B335" s="52" t="s">
        <v>525</v>
      </c>
      <c r="C335" s="157"/>
      <c r="D335" s="81" t="s">
        <v>5</v>
      </c>
      <c r="G335" s="33"/>
      <c r="H335" s="81"/>
      <c r="J335" s="32"/>
      <c r="K335" s="33"/>
      <c r="L335" s="33"/>
      <c r="M335" s="81"/>
      <c r="N335" s="81"/>
      <c r="O335" s="96"/>
      <c r="Q335" s="34"/>
      <c r="R335" s="95"/>
      <c r="S335" s="35"/>
      <c r="T335" s="35"/>
      <c r="U335" s="35"/>
      <c r="V335" s="35"/>
      <c r="W335" s="35"/>
      <c r="X335" s="35"/>
      <c r="Y335" s="35"/>
      <c r="Z335" s="35"/>
      <c r="AA335" s="35"/>
      <c r="AB335" s="35"/>
      <c r="AC335" s="35"/>
      <c r="AD335" s="35"/>
      <c r="AE335" s="35"/>
      <c r="AF335" s="35"/>
      <c r="AG335" s="35"/>
      <c r="AH335" s="35"/>
      <c r="AI335" s="35"/>
      <c r="AJ335" s="35"/>
      <c r="AK335" s="35"/>
      <c r="AL335" s="35"/>
      <c r="AM335" s="35"/>
      <c r="AN335" s="36"/>
      <c r="AO335" s="36"/>
      <c r="AP335" s="36"/>
      <c r="AQ335" s="36"/>
      <c r="AR335" s="36"/>
      <c r="AS335" s="36"/>
      <c r="AT335" s="36"/>
      <c r="AU335" s="36"/>
      <c r="AV335" s="36"/>
      <c r="AW335" s="36"/>
      <c r="AX335" s="36"/>
      <c r="AY335" s="36"/>
      <c r="AZ335" s="36"/>
      <c r="BA335" s="36"/>
      <c r="BB335" s="36"/>
      <c r="BC335" s="36"/>
      <c r="BD335" s="36"/>
      <c r="BE335" s="36"/>
    </row>
    <row r="336" spans="2:59" s="30" customFormat="1" ht="15" x14ac:dyDescent="0.2">
      <c r="B336" s="52" t="s">
        <v>524</v>
      </c>
      <c r="C336" s="474" t="s">
        <v>309</v>
      </c>
      <c r="D336" s="474"/>
      <c r="G336" s="33"/>
      <c r="H336" s="81"/>
      <c r="J336" s="32"/>
      <c r="K336" s="33"/>
      <c r="L336" s="33"/>
      <c r="M336" s="81"/>
      <c r="N336" s="81"/>
      <c r="O336" s="96"/>
      <c r="Q336" s="34"/>
      <c r="R336" s="95"/>
      <c r="S336" s="35"/>
      <c r="T336" s="35"/>
      <c r="U336" s="35"/>
      <c r="V336" s="35"/>
      <c r="W336" s="35"/>
      <c r="X336" s="35"/>
      <c r="Y336" s="35"/>
      <c r="Z336" s="35"/>
      <c r="AA336" s="35"/>
      <c r="AB336" s="35"/>
      <c r="AC336" s="35"/>
      <c r="AD336" s="35"/>
      <c r="AE336" s="35"/>
      <c r="AF336" s="35"/>
      <c r="AG336" s="35"/>
      <c r="AH336" s="35"/>
      <c r="AI336" s="35"/>
      <c r="AJ336" s="35"/>
      <c r="AK336" s="35"/>
      <c r="AL336" s="35"/>
      <c r="AM336" s="35"/>
      <c r="AN336" s="36"/>
      <c r="AO336" s="36"/>
      <c r="AP336" s="36"/>
      <c r="AQ336" s="36"/>
      <c r="AR336" s="36"/>
      <c r="AS336" s="36"/>
      <c r="AT336" s="36"/>
      <c r="AU336" s="36"/>
      <c r="AV336" s="36"/>
      <c r="AW336" s="36"/>
      <c r="AX336" s="36"/>
      <c r="AY336" s="36"/>
      <c r="AZ336" s="36"/>
      <c r="BA336" s="36"/>
      <c r="BB336" s="36"/>
      <c r="BC336" s="36"/>
      <c r="BD336" s="36"/>
      <c r="BE336" s="36"/>
    </row>
    <row r="338" ht="13.9" hidden="1" customHeight="1" x14ac:dyDescent="0.2"/>
    <row r="339" ht="13.9" hidden="1" customHeight="1" x14ac:dyDescent="0.2"/>
    <row r="340" ht="13.9" hidden="1" customHeight="1" x14ac:dyDescent="0.2"/>
    <row r="341" ht="13.9" hidden="1" customHeight="1" x14ac:dyDescent="0.2"/>
    <row r="342" ht="13.9" hidden="1" customHeight="1" x14ac:dyDescent="0.2"/>
    <row r="343" ht="13.9" hidden="1" customHeight="1" x14ac:dyDescent="0.2"/>
    <row r="344" ht="13.9" hidden="1" customHeight="1" x14ac:dyDescent="0.2"/>
    <row r="345" ht="13.9" hidden="1" customHeight="1" x14ac:dyDescent="0.2"/>
    <row r="346" ht="13.9" hidden="1" customHeight="1" x14ac:dyDescent="0.2"/>
    <row r="347" ht="13.9" hidden="1" customHeight="1" x14ac:dyDescent="0.2"/>
    <row r="348" ht="13.9" hidden="1" customHeight="1" x14ac:dyDescent="0.2"/>
    <row r="349" ht="13.9" hidden="1" customHeight="1" x14ac:dyDescent="0.2"/>
    <row r="350" ht="13.9" hidden="1" customHeight="1" x14ac:dyDescent="0.2"/>
    <row r="351" ht="13.9" hidden="1" customHeight="1" x14ac:dyDescent="0.2"/>
    <row r="352" ht="13.9" hidden="1" customHeight="1" x14ac:dyDescent="0.2"/>
    <row r="353" ht="13.9" hidden="1" customHeight="1" x14ac:dyDescent="0.2"/>
    <row r="354" ht="13.9" hidden="1" customHeight="1" x14ac:dyDescent="0.2"/>
    <row r="355" ht="13.9" hidden="1" customHeight="1" x14ac:dyDescent="0.2"/>
    <row r="356" ht="13.9" hidden="1" customHeight="1" x14ac:dyDescent="0.2"/>
    <row r="357" ht="13.9" hidden="1" customHeight="1" x14ac:dyDescent="0.2"/>
    <row r="358" ht="13.9" hidden="1" customHeight="1" x14ac:dyDescent="0.2"/>
    <row r="359" ht="13.9" hidden="1" customHeight="1" x14ac:dyDescent="0.2"/>
    <row r="360" ht="13.9" hidden="1" customHeight="1" x14ac:dyDescent="0.2"/>
    <row r="361" ht="13.9" hidden="1" customHeight="1" x14ac:dyDescent="0.2"/>
    <row r="362" ht="13.9" hidden="1" customHeight="1" x14ac:dyDescent="0.2"/>
    <row r="363" ht="13.9" hidden="1" customHeight="1" x14ac:dyDescent="0.2"/>
    <row r="364" ht="13.9" hidden="1" customHeight="1" x14ac:dyDescent="0.2"/>
    <row r="365" ht="13.9" hidden="1" customHeight="1" x14ac:dyDescent="0.2"/>
    <row r="366" ht="13.9" hidden="1" customHeight="1" x14ac:dyDescent="0.2"/>
    <row r="367" ht="13.9" hidden="1" customHeight="1" x14ac:dyDescent="0.2"/>
    <row r="368" ht="13.9" hidden="1" customHeight="1" x14ac:dyDescent="0.2"/>
    <row r="369" ht="13.9" hidden="1" customHeight="1" x14ac:dyDescent="0.2"/>
    <row r="370" ht="13.9" hidden="1" customHeight="1" x14ac:dyDescent="0.2"/>
    <row r="371" ht="13.9" hidden="1" customHeight="1" x14ac:dyDescent="0.2"/>
    <row r="372" ht="13.9" hidden="1" customHeight="1" x14ac:dyDescent="0.2"/>
    <row r="373" ht="13.9" hidden="1" customHeight="1" x14ac:dyDescent="0.2"/>
    <row r="374" ht="13.9" hidden="1" customHeight="1" x14ac:dyDescent="0.2"/>
    <row r="375" ht="13.9" hidden="1" customHeight="1" x14ac:dyDescent="0.2"/>
    <row r="376" ht="13.9" hidden="1" customHeight="1" x14ac:dyDescent="0.2"/>
    <row r="377" ht="13.9" hidden="1" customHeight="1" x14ac:dyDescent="0.2"/>
    <row r="378" ht="13.9" hidden="1" customHeight="1" x14ac:dyDescent="0.2"/>
    <row r="379" ht="13.9" hidden="1" customHeight="1" x14ac:dyDescent="0.2"/>
    <row r="380" ht="13.9" hidden="1" customHeight="1" x14ac:dyDescent="0.2"/>
    <row r="381" ht="13.9" hidden="1" customHeight="1" x14ac:dyDescent="0.2"/>
    <row r="382" ht="13.9" hidden="1" customHeight="1" x14ac:dyDescent="0.2"/>
    <row r="383" ht="13.9" hidden="1" customHeight="1" x14ac:dyDescent="0.2"/>
    <row r="384" ht="13.9" hidden="1" customHeight="1" x14ac:dyDescent="0.2"/>
    <row r="385" ht="13.9" hidden="1" customHeight="1" x14ac:dyDescent="0.2"/>
    <row r="386" ht="13.9" hidden="1" customHeight="1" x14ac:dyDescent="0.2"/>
    <row r="387" ht="13.9" hidden="1" customHeight="1" x14ac:dyDescent="0.2"/>
    <row r="388" ht="13.9" hidden="1" customHeight="1" x14ac:dyDescent="0.2"/>
    <row r="389" ht="13.9" hidden="1" customHeight="1" x14ac:dyDescent="0.2"/>
    <row r="390" ht="13.9" hidden="1" customHeight="1" x14ac:dyDescent="0.2"/>
    <row r="391" ht="13.9" hidden="1" customHeight="1" x14ac:dyDescent="0.2"/>
    <row r="392" ht="13.9" hidden="1" customHeight="1" x14ac:dyDescent="0.2"/>
    <row r="393" ht="13.9" hidden="1" customHeight="1" x14ac:dyDescent="0.2"/>
    <row r="394" ht="13.9" hidden="1" customHeight="1" x14ac:dyDescent="0.2"/>
    <row r="395" ht="13.9" hidden="1" customHeight="1" x14ac:dyDescent="0.2"/>
    <row r="396" ht="13.9" hidden="1" customHeight="1" x14ac:dyDescent="0.2"/>
    <row r="397" ht="13.9" hidden="1" customHeight="1" x14ac:dyDescent="0.2"/>
    <row r="398" ht="13.9" hidden="1" customHeight="1" x14ac:dyDescent="0.2"/>
    <row r="399" ht="13.9" hidden="1" customHeight="1" x14ac:dyDescent="0.2"/>
    <row r="400" ht="13.9" hidden="1" customHeight="1" x14ac:dyDescent="0.2"/>
    <row r="401" spans="17:59" ht="13.9" hidden="1" customHeight="1" x14ac:dyDescent="0.2"/>
    <row r="402" spans="17:59" ht="13.9" hidden="1" customHeight="1" x14ac:dyDescent="0.2"/>
    <row r="403" spans="17:59" ht="13.9" hidden="1" customHeight="1" x14ac:dyDescent="0.2"/>
    <row r="404" spans="17:59" ht="13.9" hidden="1" customHeight="1" x14ac:dyDescent="0.2"/>
    <row r="405" spans="17:59" ht="13.9" hidden="1" customHeight="1" x14ac:dyDescent="0.2"/>
    <row r="406" spans="17:59" ht="13.9" hidden="1" customHeight="1" x14ac:dyDescent="0.2"/>
    <row r="407" spans="17:59" ht="13.9" hidden="1" customHeight="1" x14ac:dyDescent="0.2"/>
    <row r="408" spans="17:59" ht="13.9" hidden="1" customHeight="1" x14ac:dyDescent="0.2"/>
    <row r="410" spans="17:59" ht="13.9" customHeight="1" x14ac:dyDescent="0.2">
      <c r="Q410" s="23"/>
      <c r="R410" s="361" t="s">
        <v>314</v>
      </c>
      <c r="S410" s="21"/>
      <c r="T410" s="227"/>
      <c r="U410" s="228"/>
      <c r="V410" s="228"/>
      <c r="W410" s="228"/>
      <c r="X410" s="228"/>
      <c r="Y410" s="228"/>
      <c r="Z410" s="228"/>
      <c r="AA410" s="228"/>
      <c r="AB410" s="228"/>
      <c r="AC410" s="228"/>
      <c r="AD410" s="228"/>
      <c r="AN410" s="22"/>
      <c r="AO410" s="22"/>
      <c r="BF410" s="5"/>
      <c r="BG410" s="5"/>
    </row>
    <row r="411" spans="17:59" ht="13.9" customHeight="1" x14ac:dyDescent="0.2">
      <c r="Q411" s="23"/>
      <c r="R411" s="238"/>
      <c r="S411" s="361" t="s">
        <v>45</v>
      </c>
      <c r="T411" s="227"/>
      <c r="U411" s="228"/>
      <c r="V411" s="228"/>
      <c r="W411" s="228"/>
      <c r="X411" s="228"/>
      <c r="Y411" s="228" t="s">
        <v>160</v>
      </c>
      <c r="Z411" s="228" t="s">
        <v>596</v>
      </c>
      <c r="AA411" s="228"/>
      <c r="AB411" s="228"/>
      <c r="AC411" s="228"/>
      <c r="AD411" s="228"/>
      <c r="AN411" s="22"/>
      <c r="AO411" s="22"/>
      <c r="BF411" s="5"/>
      <c r="BG411" s="5"/>
    </row>
    <row r="412" spans="17:59" ht="13.9" customHeight="1" x14ac:dyDescent="0.2">
      <c r="Q412" s="23"/>
      <c r="R412" s="238"/>
      <c r="S412" s="279" t="str">
        <f>B9</f>
        <v>Käsittelyssä tarvittavien työkoneiden ja muun työmaakaluston kuljetus alueelle sekä niiden kuljetus alueelta pois käsittelyn päättyessä</v>
      </c>
      <c r="T412" s="280"/>
      <c r="U412" s="281"/>
      <c r="V412" s="281"/>
      <c r="W412" s="281" t="s">
        <v>662</v>
      </c>
      <c r="X412" s="281" t="s">
        <v>612</v>
      </c>
      <c r="Y412" s="282">
        <f>SUM(Y413,Y416)</f>
        <v>0</v>
      </c>
      <c r="Z412" s="283" t="str">
        <f>IF(ISERROR(Y412/Y$450),"--",Y412/Y$450)</f>
        <v>--</v>
      </c>
      <c r="AA412" s="228"/>
      <c r="AB412" s="228"/>
      <c r="AC412" s="228"/>
      <c r="AD412" s="228"/>
      <c r="AN412" s="22"/>
      <c r="AO412" s="22"/>
      <c r="BF412" s="5"/>
      <c r="BG412" s="5"/>
    </row>
    <row r="413" spans="17:59" ht="13.9" customHeight="1" x14ac:dyDescent="0.2">
      <c r="Q413" s="23"/>
      <c r="R413" s="238"/>
      <c r="S413" s="207" t="s">
        <v>569</v>
      </c>
      <c r="T413" s="228"/>
      <c r="U413" s="228"/>
      <c r="V413" s="228"/>
      <c r="W413" s="228" t="s">
        <v>662</v>
      </c>
      <c r="X413" s="228" t="s">
        <v>316</v>
      </c>
      <c r="Y413" s="229">
        <f>SUM(Y414:Y415)</f>
        <v>0</v>
      </c>
      <c r="Z413" s="277" t="str">
        <f t="shared" ref="Z413:Z448" si="4">IF(ISERROR(Y413/Y$450),"--",Y413/Y$450)</f>
        <v>--</v>
      </c>
      <c r="AA413" s="228"/>
      <c r="AB413" s="228"/>
      <c r="AC413" s="228"/>
      <c r="AD413" s="228"/>
      <c r="AN413" s="22"/>
      <c r="AO413" s="22"/>
      <c r="BF413" s="5"/>
      <c r="BG413" s="5"/>
    </row>
    <row r="414" spans="17:59" ht="13.9" customHeight="1" x14ac:dyDescent="0.2">
      <c r="Q414" s="23"/>
      <c r="R414" s="238"/>
      <c r="S414" s="246" t="s">
        <v>40</v>
      </c>
      <c r="T414" s="228"/>
      <c r="U414" s="228"/>
      <c r="V414" s="228"/>
      <c r="W414" s="228" t="s">
        <v>40</v>
      </c>
      <c r="X414" s="228"/>
      <c r="Y414" s="229">
        <f>SUM(AB12,AB17,AB22)</f>
        <v>0</v>
      </c>
      <c r="Z414" s="277" t="str">
        <f t="shared" si="4"/>
        <v>--</v>
      </c>
      <c r="AA414" s="228"/>
      <c r="AB414" s="228"/>
      <c r="AC414" s="228"/>
      <c r="AD414" s="228"/>
      <c r="AN414" s="22"/>
      <c r="AO414" s="22"/>
      <c r="BF414" s="5"/>
      <c r="BG414" s="5"/>
    </row>
    <row r="415" spans="17:59" ht="13.9" customHeight="1" x14ac:dyDescent="0.2">
      <c r="Q415" s="23"/>
      <c r="R415" s="238"/>
      <c r="S415" s="246" t="s">
        <v>577</v>
      </c>
      <c r="T415" s="228"/>
      <c r="U415" s="228"/>
      <c r="V415" s="228"/>
      <c r="W415" s="228" t="s">
        <v>40</v>
      </c>
      <c r="X415" s="228"/>
      <c r="Y415" s="229">
        <f>SUM(AG22,AG17,AG12)</f>
        <v>0</v>
      </c>
      <c r="Z415" s="277" t="str">
        <f t="shared" si="4"/>
        <v>--</v>
      </c>
      <c r="AA415" s="228"/>
      <c r="AB415" s="228"/>
      <c r="AC415" s="228"/>
      <c r="AD415" s="228"/>
      <c r="AN415" s="22"/>
      <c r="AO415" s="22"/>
      <c r="BF415" s="5"/>
      <c r="BG415" s="5"/>
    </row>
    <row r="416" spans="17:59" ht="13.9" customHeight="1" x14ac:dyDescent="0.2">
      <c r="Q416" s="23"/>
      <c r="R416" s="238"/>
      <c r="S416" s="207" t="s">
        <v>570</v>
      </c>
      <c r="T416" s="228"/>
      <c r="U416" s="228"/>
      <c r="V416" s="228"/>
      <c r="W416" s="228" t="s">
        <v>662</v>
      </c>
      <c r="X416" s="228" t="s">
        <v>611</v>
      </c>
      <c r="Y416" s="229">
        <f>SUM(Y417:Y418)</f>
        <v>0</v>
      </c>
      <c r="Z416" s="277" t="str">
        <f t="shared" si="4"/>
        <v>--</v>
      </c>
      <c r="AA416" s="228"/>
      <c r="AB416" s="228"/>
      <c r="AC416" s="228"/>
      <c r="AD416" s="228"/>
      <c r="AN416" s="22"/>
      <c r="AO416" s="22"/>
      <c r="BF416" s="5"/>
      <c r="BG416" s="5"/>
    </row>
    <row r="417" spans="17:59" ht="13.9" customHeight="1" x14ac:dyDescent="0.2">
      <c r="Q417" s="23"/>
      <c r="R417" s="238"/>
      <c r="S417" s="246" t="s">
        <v>40</v>
      </c>
      <c r="T417" s="228"/>
      <c r="U417" s="228"/>
      <c r="V417" s="228"/>
      <c r="W417" s="228" t="s">
        <v>40</v>
      </c>
      <c r="X417" s="228"/>
      <c r="Y417" s="229">
        <f>SUM(AB22,AB17,AB12)</f>
        <v>0</v>
      </c>
      <c r="Z417" s="277" t="str">
        <f t="shared" si="4"/>
        <v>--</v>
      </c>
      <c r="AA417" s="228"/>
      <c r="AB417" s="228"/>
      <c r="AC417" s="228"/>
      <c r="AD417" s="228"/>
      <c r="AN417" s="22"/>
      <c r="AO417" s="22"/>
      <c r="BF417" s="5"/>
      <c r="BG417" s="5"/>
    </row>
    <row r="418" spans="17:59" ht="13.9" customHeight="1" x14ac:dyDescent="0.2">
      <c r="Q418" s="23"/>
      <c r="R418" s="238"/>
      <c r="S418" s="246" t="s">
        <v>577</v>
      </c>
      <c r="T418" s="228"/>
      <c r="U418" s="228"/>
      <c r="V418" s="228"/>
      <c r="W418" s="228" t="s">
        <v>40</v>
      </c>
      <c r="X418" s="228"/>
      <c r="Y418" s="229">
        <f>SUM(AG22,AG17,AG12)</f>
        <v>0</v>
      </c>
      <c r="Z418" s="277" t="str">
        <f t="shared" si="4"/>
        <v>--</v>
      </c>
      <c r="AA418" s="228"/>
      <c r="AB418" s="228"/>
      <c r="AC418" s="228"/>
      <c r="AD418" s="228"/>
      <c r="AN418" s="22"/>
      <c r="AO418" s="22"/>
      <c r="BF418" s="5"/>
      <c r="BG418" s="5"/>
    </row>
    <row r="419" spans="17:59" ht="13.9" customHeight="1" x14ac:dyDescent="0.2">
      <c r="Q419" s="23"/>
      <c r="R419" s="238"/>
      <c r="S419" s="279" t="str">
        <f>B29</f>
        <v>Käsittelyä varten tehtävät puuston, asfalttipintojen  tai rakenteiden poisto</v>
      </c>
      <c r="T419" s="280"/>
      <c r="U419" s="281"/>
      <c r="V419" s="281"/>
      <c r="W419" s="281" t="s">
        <v>663</v>
      </c>
      <c r="X419" s="281" t="s">
        <v>316</v>
      </c>
      <c r="Y419" s="282">
        <f>SUM(Y420,Y421,Y422)</f>
        <v>0</v>
      </c>
      <c r="Z419" s="283" t="str">
        <f t="shared" si="4"/>
        <v>--</v>
      </c>
      <c r="AA419" s="228"/>
      <c r="AB419" s="228"/>
      <c r="AC419" s="228"/>
      <c r="AD419" s="228"/>
      <c r="AN419" s="22"/>
      <c r="AO419" s="22"/>
      <c r="BF419" s="5"/>
      <c r="BG419" s="5"/>
    </row>
    <row r="420" spans="17:59" ht="13.9" customHeight="1" x14ac:dyDescent="0.2">
      <c r="Q420" s="23"/>
      <c r="R420" s="238"/>
      <c r="S420" s="207" t="s">
        <v>574</v>
      </c>
      <c r="T420" s="228"/>
      <c r="U420" s="228"/>
      <c r="V420" s="228"/>
      <c r="W420" s="228" t="s">
        <v>595</v>
      </c>
      <c r="X420" s="228" t="s">
        <v>316</v>
      </c>
      <c r="Y420" s="229">
        <f>SUM(R32)</f>
        <v>0</v>
      </c>
      <c r="Z420" s="277" t="str">
        <f t="shared" si="4"/>
        <v>--</v>
      </c>
      <c r="AA420" s="228"/>
      <c r="AB420" s="228"/>
      <c r="AC420" s="228"/>
      <c r="AD420" s="228"/>
      <c r="AN420" s="22"/>
      <c r="AO420" s="22"/>
      <c r="BF420" s="5"/>
      <c r="BG420" s="5"/>
    </row>
    <row r="421" spans="17:59" ht="13.9" customHeight="1" x14ac:dyDescent="0.2">
      <c r="Q421" s="23"/>
      <c r="R421" s="238"/>
      <c r="S421" s="207" t="s">
        <v>571</v>
      </c>
      <c r="T421" s="228"/>
      <c r="U421" s="228"/>
      <c r="V421" s="228"/>
      <c r="W421" s="228" t="s">
        <v>595</v>
      </c>
      <c r="X421" s="228" t="s">
        <v>316</v>
      </c>
      <c r="Y421" s="229">
        <f>SUM(R33)</f>
        <v>0</v>
      </c>
      <c r="Z421" s="277" t="str">
        <f t="shared" si="4"/>
        <v>--</v>
      </c>
      <c r="AA421" s="228"/>
      <c r="AB421" s="228"/>
      <c r="AC421" s="228"/>
      <c r="AD421" s="228"/>
      <c r="AN421" s="22"/>
      <c r="AO421" s="22"/>
      <c r="BF421" s="5"/>
      <c r="BG421" s="5"/>
    </row>
    <row r="422" spans="17:59" ht="13.9" customHeight="1" x14ac:dyDescent="0.2">
      <c r="Q422" s="23"/>
      <c r="R422" s="238"/>
      <c r="S422" s="207" t="s">
        <v>55</v>
      </c>
      <c r="T422" s="228"/>
      <c r="U422" s="228"/>
      <c r="V422" s="228"/>
      <c r="W422" s="228" t="s">
        <v>595</v>
      </c>
      <c r="X422" s="228" t="s">
        <v>316</v>
      </c>
      <c r="Y422" s="229">
        <f>SUM(R35)</f>
        <v>0</v>
      </c>
      <c r="Z422" s="277" t="str">
        <f t="shared" si="4"/>
        <v>--</v>
      </c>
      <c r="AA422" s="228"/>
      <c r="AB422" s="228"/>
      <c r="AC422" s="228"/>
      <c r="AD422" s="228"/>
      <c r="AN422" s="22"/>
      <c r="AO422" s="22"/>
      <c r="BF422" s="5"/>
      <c r="BG422" s="5"/>
    </row>
    <row r="423" spans="17:59" ht="13.9" customHeight="1" x14ac:dyDescent="0.2">
      <c r="Q423" s="23"/>
      <c r="R423" s="238"/>
      <c r="S423" s="279" t="str">
        <f>B38</f>
        <v>Asennus- ja valmisteluvaiheessa tarvittavat työkoneet</v>
      </c>
      <c r="T423" s="280"/>
      <c r="U423" s="281"/>
      <c r="V423" s="281"/>
      <c r="W423" s="281" t="s">
        <v>595</v>
      </c>
      <c r="X423" s="281" t="s">
        <v>575</v>
      </c>
      <c r="Y423" s="282">
        <f>SUM(R41,R45,R49)</f>
        <v>0</v>
      </c>
      <c r="Z423" s="283" t="str">
        <f t="shared" si="4"/>
        <v>--</v>
      </c>
      <c r="AA423" s="228"/>
      <c r="AB423" s="228"/>
      <c r="AC423" s="228"/>
      <c r="AD423" s="228"/>
      <c r="AN423" s="22"/>
      <c r="AO423" s="22"/>
      <c r="BF423" s="5"/>
      <c r="BG423" s="5"/>
    </row>
    <row r="424" spans="17:59" ht="13.9" customHeight="1" x14ac:dyDescent="0.2">
      <c r="Q424" s="23"/>
      <c r="R424" s="238"/>
      <c r="S424" s="279" t="str">
        <f>B53</f>
        <v>Mahdollisten käsittelyssä poistettavien maa-ainesten ja purkumateriaalien kuljetukset pois alueelta</v>
      </c>
      <c r="T424" s="280"/>
      <c r="U424" s="281"/>
      <c r="V424" s="281"/>
      <c r="W424" s="281" t="s">
        <v>662</v>
      </c>
      <c r="X424" s="281" t="s">
        <v>602</v>
      </c>
      <c r="Y424" s="282">
        <f>SUM(Y425:Y426)</f>
        <v>0</v>
      </c>
      <c r="Z424" s="283" t="str">
        <f t="shared" si="4"/>
        <v>--</v>
      </c>
      <c r="AA424" s="228"/>
      <c r="AB424" s="228"/>
      <c r="AC424" s="228"/>
      <c r="AD424" s="228"/>
      <c r="AN424" s="22"/>
      <c r="AO424" s="22"/>
      <c r="BF424" s="5"/>
      <c r="BG424" s="5"/>
    </row>
    <row r="425" spans="17:59" ht="13.9" customHeight="1" x14ac:dyDescent="0.2">
      <c r="Q425" s="23"/>
      <c r="R425" s="238"/>
      <c r="S425" s="207" t="s">
        <v>40</v>
      </c>
      <c r="T425" s="227"/>
      <c r="U425" s="228"/>
      <c r="V425" s="228"/>
      <c r="W425" s="228" t="s">
        <v>40</v>
      </c>
      <c r="X425" s="228" t="s">
        <v>602</v>
      </c>
      <c r="Y425" s="229">
        <f>SUM(AB57,AB62,AB67,AB72,AB77)</f>
        <v>0</v>
      </c>
      <c r="Z425" s="277" t="str">
        <f t="shared" si="4"/>
        <v>--</v>
      </c>
      <c r="AA425" s="228"/>
      <c r="AB425" s="228"/>
      <c r="AC425" s="228"/>
      <c r="AD425" s="228"/>
      <c r="AN425" s="22"/>
      <c r="AO425" s="22"/>
      <c r="BF425" s="5"/>
      <c r="BG425" s="5"/>
    </row>
    <row r="426" spans="17:59" ht="13.9" customHeight="1" x14ac:dyDescent="0.2">
      <c r="Q426" s="23"/>
      <c r="R426" s="238"/>
      <c r="S426" s="207" t="s">
        <v>577</v>
      </c>
      <c r="T426" s="227"/>
      <c r="U426" s="228"/>
      <c r="V426" s="228"/>
      <c r="W426" s="228" t="s">
        <v>40</v>
      </c>
      <c r="X426" s="228" t="s">
        <v>602</v>
      </c>
      <c r="Y426" s="229">
        <f>SUM(AG57,AG62,AG67,AG72,AG77)</f>
        <v>0</v>
      </c>
      <c r="Z426" s="277" t="str">
        <f t="shared" si="4"/>
        <v>--</v>
      </c>
      <c r="AA426" s="228"/>
      <c r="AB426" s="228"/>
      <c r="AC426" s="228"/>
      <c r="AD426" s="228"/>
      <c r="AN426" s="22"/>
      <c r="AO426" s="22"/>
      <c r="BF426" s="5"/>
      <c r="BG426" s="5"/>
    </row>
    <row r="427" spans="17:59" ht="13.9" customHeight="1" x14ac:dyDescent="0.2">
      <c r="Q427" s="23"/>
      <c r="R427" s="238"/>
      <c r="S427" s="279" t="str">
        <f>B84</f>
        <v>Mahdolliset poistettavia maa-aineksia korvaavien maa-ainesten määrä</v>
      </c>
      <c r="T427" s="280"/>
      <c r="U427" s="281"/>
      <c r="V427" s="281"/>
      <c r="W427" s="281" t="s">
        <v>594</v>
      </c>
      <c r="X427" s="281" t="s">
        <v>602</v>
      </c>
      <c r="Y427" s="282">
        <f>SUM(R86:R90)</f>
        <v>0</v>
      </c>
      <c r="Z427" s="283" t="str">
        <f t="shared" si="4"/>
        <v>--</v>
      </c>
      <c r="AA427" s="228"/>
      <c r="AB427" s="228"/>
      <c r="AC427" s="228"/>
      <c r="AD427" s="228"/>
      <c r="AN427" s="22"/>
      <c r="AO427" s="22"/>
      <c r="BF427" s="5"/>
      <c r="BG427" s="5"/>
    </row>
    <row r="428" spans="17:59" ht="13.9" customHeight="1" x14ac:dyDescent="0.2">
      <c r="Z428" s="21" t="str">
        <f t="shared" si="4"/>
        <v>--</v>
      </c>
    </row>
    <row r="429" spans="17:59" ht="13.9" customHeight="1" x14ac:dyDescent="0.2">
      <c r="Q429" s="23"/>
      <c r="R429" s="238"/>
      <c r="S429" s="279" t="str">
        <f>B94</f>
        <v>Mahdollisten korvaavien maa-ainesten kuljetukset alueelle</v>
      </c>
      <c r="T429" s="280"/>
      <c r="U429" s="281"/>
      <c r="V429" s="281"/>
      <c r="W429" s="281" t="s">
        <v>662</v>
      </c>
      <c r="X429" s="281" t="s">
        <v>602</v>
      </c>
      <c r="Y429" s="282">
        <f>SUM(Y430,Y431)</f>
        <v>0</v>
      </c>
      <c r="Z429" s="283" t="str">
        <f t="shared" si="4"/>
        <v>--</v>
      </c>
      <c r="AA429" s="228"/>
      <c r="AB429" s="228"/>
      <c r="AC429" s="228"/>
      <c r="AD429" s="228"/>
      <c r="AN429" s="22"/>
      <c r="AO429" s="22"/>
      <c r="BF429" s="5"/>
      <c r="BG429" s="5"/>
    </row>
    <row r="430" spans="17:59" ht="13.9" customHeight="1" x14ac:dyDescent="0.2">
      <c r="Q430" s="23"/>
      <c r="R430" s="238"/>
      <c r="S430" s="207" t="s">
        <v>40</v>
      </c>
      <c r="T430" s="228"/>
      <c r="U430" s="228"/>
      <c r="V430" s="228"/>
      <c r="W430" s="228" t="s">
        <v>40</v>
      </c>
      <c r="X430" s="228" t="s">
        <v>602</v>
      </c>
      <c r="Y430" s="229">
        <f>SUM(AB97,AB102,AB107,AB112,AB117)</f>
        <v>0</v>
      </c>
      <c r="Z430" s="277" t="str">
        <f t="shared" si="4"/>
        <v>--</v>
      </c>
      <c r="AA430" s="228"/>
      <c r="AB430" s="228"/>
      <c r="AC430" s="228"/>
      <c r="AD430" s="228"/>
      <c r="AN430" s="22"/>
      <c r="AO430" s="22"/>
      <c r="BF430" s="5"/>
      <c r="BG430" s="5"/>
    </row>
    <row r="431" spans="17:59" ht="13.9" customHeight="1" x14ac:dyDescent="0.2">
      <c r="Q431" s="23"/>
      <c r="R431" s="238"/>
      <c r="S431" s="207" t="s">
        <v>577</v>
      </c>
      <c r="T431" s="228"/>
      <c r="U431" s="228"/>
      <c r="V431" s="228"/>
      <c r="W431" s="228" t="s">
        <v>40</v>
      </c>
      <c r="X431" s="228" t="s">
        <v>602</v>
      </c>
      <c r="Y431" s="229">
        <f>SUM(AG97,AG102,AG107,AG112,AG117)</f>
        <v>0</v>
      </c>
      <c r="Z431" s="277" t="str">
        <f t="shared" si="4"/>
        <v>--</v>
      </c>
      <c r="AA431" s="228"/>
      <c r="AB431" s="228"/>
      <c r="AC431" s="228"/>
      <c r="AD431" s="228"/>
      <c r="AN431" s="22"/>
      <c r="AO431" s="22"/>
      <c r="BF431" s="5"/>
      <c r="BG431" s="5"/>
    </row>
    <row r="432" spans="17:59" ht="13.9" customHeight="1" x14ac:dyDescent="0.2">
      <c r="Q432" s="23"/>
      <c r="R432" s="238"/>
      <c r="S432" s="279" t="str">
        <f>B131</f>
        <v>Käytettävät kertakäyttöiset tuotteet tai materiaalit</v>
      </c>
      <c r="T432" s="280"/>
      <c r="U432" s="281"/>
      <c r="V432" s="281"/>
      <c r="W432" s="281" t="s">
        <v>594</v>
      </c>
      <c r="X432" s="281" t="s">
        <v>602</v>
      </c>
      <c r="Y432" s="282">
        <f>SUM(R147,R144,R141,R138,R135)</f>
        <v>0</v>
      </c>
      <c r="Z432" s="283" t="str">
        <f t="shared" si="4"/>
        <v>--</v>
      </c>
      <c r="AA432" s="228"/>
      <c r="AB432" s="228"/>
      <c r="AC432" s="228"/>
      <c r="AD432" s="228"/>
      <c r="AN432" s="22"/>
      <c r="AO432" s="22"/>
      <c r="BF432" s="5"/>
      <c r="BG432" s="5"/>
    </row>
    <row r="433" spans="17:59" ht="13.9" customHeight="1" x14ac:dyDescent="0.2">
      <c r="Q433" s="23"/>
      <c r="R433" s="238"/>
      <c r="S433" s="279" t="str">
        <f>B149</f>
        <v>Käsittelyssä käytettävien kemikaalien, tuotteiden ja materiaalien kuljetukset alueelle</v>
      </c>
      <c r="T433" s="280"/>
      <c r="U433" s="281"/>
      <c r="V433" s="281"/>
      <c r="W433" s="281" t="s">
        <v>40</v>
      </c>
      <c r="X433" s="281" t="s">
        <v>602</v>
      </c>
      <c r="Y433" s="282">
        <f>SUM(R155,R163,R171,R179,R187)</f>
        <v>0</v>
      </c>
      <c r="Z433" s="283" t="str">
        <f t="shared" si="4"/>
        <v>--</v>
      </c>
      <c r="AA433" s="228"/>
      <c r="AB433" s="228"/>
      <c r="AC433" s="228"/>
      <c r="AD433" s="228"/>
      <c r="AN433" s="22"/>
      <c r="AO433" s="22"/>
      <c r="BF433" s="5"/>
      <c r="BG433" s="5"/>
    </row>
    <row r="434" spans="17:59" ht="13.9" customHeight="1" x14ac:dyDescent="0.2">
      <c r="Q434" s="23"/>
      <c r="R434" s="238"/>
      <c r="S434" s="279" t="str">
        <f>B195</f>
        <v>Injektointiaineen syöttö</v>
      </c>
      <c r="T434" s="280"/>
      <c r="U434" s="281"/>
      <c r="V434" s="281"/>
      <c r="W434" s="281" t="s">
        <v>683</v>
      </c>
      <c r="X434" s="281" t="s">
        <v>602</v>
      </c>
      <c r="Y434" s="282">
        <f>SUM(R199)</f>
        <v>0</v>
      </c>
      <c r="Z434" s="283" t="str">
        <f t="shared" si="4"/>
        <v>--</v>
      </c>
      <c r="AA434" s="228"/>
      <c r="AB434" s="228"/>
      <c r="AC434" s="228"/>
      <c r="AD434" s="228"/>
      <c r="AN434" s="22"/>
      <c r="AO434" s="22"/>
      <c r="BF434" s="5"/>
      <c r="BG434" s="5"/>
    </row>
    <row r="435" spans="17:59" ht="13.9" customHeight="1" x14ac:dyDescent="0.2">
      <c r="Q435" s="23"/>
      <c r="R435" s="238"/>
      <c r="S435" s="279" t="str">
        <f>B207</f>
        <v>Prosessia tehostavan mahdollinen kuuman ilman, höyryn tai veden tuottaminen</v>
      </c>
      <c r="T435" s="281"/>
      <c r="U435" s="281"/>
      <c r="V435" s="281"/>
      <c r="W435" s="281" t="s">
        <v>683</v>
      </c>
      <c r="X435" s="281" t="s">
        <v>602</v>
      </c>
      <c r="Y435" s="282">
        <f>SUM(R211)</f>
        <v>0</v>
      </c>
      <c r="Z435" s="283" t="str">
        <f t="shared" si="4"/>
        <v>--</v>
      </c>
      <c r="AA435" s="228"/>
      <c r="AB435" s="228"/>
      <c r="AC435" s="228"/>
      <c r="AD435" s="228"/>
      <c r="AN435" s="22"/>
      <c r="AO435" s="22"/>
      <c r="BF435" s="5"/>
      <c r="BG435" s="5"/>
    </row>
    <row r="436" spans="17:59" ht="13.9" customHeight="1" x14ac:dyDescent="0.2">
      <c r="Q436" s="23"/>
      <c r="R436" s="238"/>
      <c r="S436" s="279" t="str">
        <f>B219</f>
        <v>Mahdollinen poistokaasujen imu</v>
      </c>
      <c r="T436" s="281"/>
      <c r="U436" s="281"/>
      <c r="V436" s="281"/>
      <c r="W436" s="281" t="s">
        <v>683</v>
      </c>
      <c r="X436" s="281" t="s">
        <v>602</v>
      </c>
      <c r="Y436" s="282">
        <f>SUM(R223)</f>
        <v>0</v>
      </c>
      <c r="Z436" s="283" t="str">
        <f t="shared" si="4"/>
        <v>--</v>
      </c>
      <c r="AA436" s="228"/>
      <c r="AB436" s="228"/>
      <c r="AC436" s="228"/>
      <c r="AD436" s="228"/>
      <c r="AN436" s="22"/>
      <c r="AO436" s="22"/>
      <c r="BF436" s="5"/>
      <c r="BG436" s="5"/>
    </row>
    <row r="437" spans="17:59" ht="13.9" customHeight="1" x14ac:dyDescent="0.2">
      <c r="Q437" s="23"/>
      <c r="R437" s="238"/>
      <c r="S437" s="279" t="str">
        <f>B231</f>
        <v>Poistokaasujen käsittelyn mahdollinen energiankäyttö</v>
      </c>
      <c r="T437" s="280"/>
      <c r="U437" s="281"/>
      <c r="V437" s="281"/>
      <c r="W437" s="281" t="s">
        <v>683</v>
      </c>
      <c r="X437" s="281" t="s">
        <v>602</v>
      </c>
      <c r="Y437" s="282">
        <f>SUM(R235)</f>
        <v>0</v>
      </c>
      <c r="Z437" s="283" t="str">
        <f t="shared" si="4"/>
        <v>--</v>
      </c>
      <c r="AA437" s="228"/>
      <c r="AB437" s="228"/>
      <c r="AC437" s="228"/>
      <c r="AD437" s="228"/>
      <c r="AN437" s="22"/>
      <c r="AO437" s="22"/>
      <c r="BF437" s="5"/>
      <c r="BG437" s="5"/>
    </row>
    <row r="438" spans="17:59" ht="13.9" customHeight="1" x14ac:dyDescent="0.2">
      <c r="Q438" s="23"/>
      <c r="R438" s="238"/>
      <c r="S438" s="279" t="s">
        <v>42</v>
      </c>
      <c r="T438" s="281"/>
      <c r="U438" s="281"/>
      <c r="V438" s="281"/>
      <c r="W438" s="281" t="s">
        <v>664</v>
      </c>
      <c r="X438" s="281"/>
      <c r="Y438" s="282">
        <f>SUM(Y439:Y441)</f>
        <v>0</v>
      </c>
      <c r="Z438" s="283" t="str">
        <f t="shared" si="4"/>
        <v>--</v>
      </c>
      <c r="AA438" s="228"/>
      <c r="AB438" s="228"/>
      <c r="AC438" s="228"/>
      <c r="AD438" s="228"/>
      <c r="AN438" s="22"/>
      <c r="AO438" s="22"/>
      <c r="BF438" s="5"/>
      <c r="BG438" s="5"/>
    </row>
    <row r="439" spans="17:59" ht="13.9" customHeight="1" x14ac:dyDescent="0.2">
      <c r="Q439" s="23"/>
      <c r="R439" s="238"/>
      <c r="S439" s="207" t="s">
        <v>60</v>
      </c>
      <c r="T439" s="228"/>
      <c r="U439" s="228"/>
      <c r="V439" s="228"/>
      <c r="W439" s="228" t="s">
        <v>601</v>
      </c>
      <c r="X439" s="228" t="s">
        <v>316</v>
      </c>
      <c r="Y439" s="229">
        <f>SUM(R245)</f>
        <v>0</v>
      </c>
      <c r="Z439" s="277" t="str">
        <f t="shared" si="4"/>
        <v>--</v>
      </c>
      <c r="AA439" s="228"/>
      <c r="AB439" s="228"/>
      <c r="AC439" s="228"/>
      <c r="AD439" s="228"/>
      <c r="AN439" s="22"/>
      <c r="AO439" s="22"/>
      <c r="BF439" s="5"/>
      <c r="BG439" s="5"/>
    </row>
    <row r="440" spans="17:59" ht="13.9" customHeight="1" x14ac:dyDescent="0.2">
      <c r="Q440" s="23"/>
      <c r="R440" s="238"/>
      <c r="S440" s="207" t="s">
        <v>580</v>
      </c>
      <c r="T440" s="228"/>
      <c r="U440" s="228"/>
      <c r="V440" s="228"/>
      <c r="W440" s="228" t="s">
        <v>601</v>
      </c>
      <c r="X440" s="228" t="s">
        <v>602</v>
      </c>
      <c r="Y440" s="229">
        <f>SUM(R247)</f>
        <v>0</v>
      </c>
      <c r="Z440" s="277" t="str">
        <f t="shared" si="4"/>
        <v>--</v>
      </c>
      <c r="AA440" s="228"/>
      <c r="AB440" s="228"/>
      <c r="AC440" s="228"/>
      <c r="AD440" s="228"/>
      <c r="AN440" s="22"/>
      <c r="AO440" s="22"/>
      <c r="BF440" s="5"/>
      <c r="BG440" s="5"/>
    </row>
    <row r="441" spans="17:59" ht="13.9" customHeight="1" x14ac:dyDescent="0.2">
      <c r="Q441" s="23"/>
      <c r="R441" s="238"/>
      <c r="S441" s="207" t="s">
        <v>581</v>
      </c>
      <c r="T441" s="228"/>
      <c r="U441" s="228"/>
      <c r="V441" s="228"/>
      <c r="W441" s="228" t="s">
        <v>601</v>
      </c>
      <c r="X441" s="228" t="s">
        <v>603</v>
      </c>
      <c r="Y441" s="229">
        <f>SUM(R334)</f>
        <v>0</v>
      </c>
      <c r="Z441" s="277" t="str">
        <f t="shared" si="4"/>
        <v>--</v>
      </c>
      <c r="AA441" s="228"/>
      <c r="AB441" s="228"/>
      <c r="AC441" s="228"/>
      <c r="AD441" s="228"/>
      <c r="AN441" s="22"/>
      <c r="AO441" s="22"/>
      <c r="BF441" s="5"/>
      <c r="BG441" s="5"/>
    </row>
    <row r="442" spans="17:59" ht="13.9" customHeight="1" x14ac:dyDescent="0.2">
      <c r="Q442" s="23"/>
      <c r="R442" s="238"/>
      <c r="S442" s="284" t="str">
        <f>B255</f>
        <v>Rakenteiden purkaminen</v>
      </c>
      <c r="T442" s="281"/>
      <c r="U442" s="281"/>
      <c r="V442" s="281"/>
      <c r="W442" s="281" t="s">
        <v>595</v>
      </c>
      <c r="X442" s="281" t="s">
        <v>350</v>
      </c>
      <c r="Y442" s="282">
        <f>SUM(R258,R262,R266)</f>
        <v>0</v>
      </c>
      <c r="Z442" s="283" t="str">
        <f t="shared" si="4"/>
        <v>--</v>
      </c>
      <c r="AA442" s="228"/>
      <c r="AB442" s="228"/>
      <c r="AC442" s="228"/>
      <c r="AD442" s="228"/>
      <c r="AN442" s="22"/>
      <c r="AO442" s="22"/>
      <c r="BF442" s="5"/>
      <c r="BG442" s="5"/>
    </row>
    <row r="443" spans="17:59" ht="13.9" customHeight="1" x14ac:dyDescent="0.2">
      <c r="Q443" s="23"/>
      <c r="R443" s="238"/>
      <c r="S443" s="284" t="str">
        <f>B270</f>
        <v>Poistettavien rakenteiden ja puhdistukseen päättämiseen liittyvien materiaalien kuljetukset</v>
      </c>
      <c r="T443" s="281"/>
      <c r="U443" s="281"/>
      <c r="V443" s="281"/>
      <c r="W443" s="281" t="s">
        <v>662</v>
      </c>
      <c r="X443" s="281" t="s">
        <v>350</v>
      </c>
      <c r="Y443" s="282">
        <f>SUM(Y444:Y445)</f>
        <v>0</v>
      </c>
      <c r="Z443" s="283" t="str">
        <f t="shared" si="4"/>
        <v>--</v>
      </c>
      <c r="AA443" s="228"/>
      <c r="AB443" s="228"/>
      <c r="AC443" s="228"/>
      <c r="AD443" s="228"/>
      <c r="AN443" s="22"/>
      <c r="AO443" s="22"/>
      <c r="BF443" s="5"/>
      <c r="BG443" s="5"/>
    </row>
    <row r="444" spans="17:59" ht="13.9" customHeight="1" x14ac:dyDescent="0.2">
      <c r="Q444" s="23"/>
      <c r="R444" s="238"/>
      <c r="S444" s="246" t="s">
        <v>40</v>
      </c>
      <c r="T444" s="228"/>
      <c r="U444" s="228"/>
      <c r="V444" s="228"/>
      <c r="W444" s="228" t="s">
        <v>40</v>
      </c>
      <c r="X444" s="228" t="s">
        <v>350</v>
      </c>
      <c r="Y444" s="229">
        <f>SUM(AB273,AB278,AB283,AB288,AB293)</f>
        <v>0</v>
      </c>
      <c r="Z444" s="277" t="str">
        <f t="shared" si="4"/>
        <v>--</v>
      </c>
      <c r="AA444" s="228"/>
      <c r="AB444" s="228"/>
      <c r="AC444" s="228"/>
      <c r="AD444" s="228"/>
      <c r="AN444" s="22"/>
      <c r="AO444" s="22"/>
      <c r="BF444" s="5"/>
      <c r="BG444" s="5"/>
    </row>
    <row r="445" spans="17:59" ht="13.9" customHeight="1" x14ac:dyDescent="0.2">
      <c r="Q445" s="23"/>
      <c r="R445" s="238"/>
      <c r="S445" s="246" t="s">
        <v>577</v>
      </c>
      <c r="T445" s="228"/>
      <c r="U445" s="228"/>
      <c r="V445" s="228"/>
      <c r="W445" s="228" t="s">
        <v>40</v>
      </c>
      <c r="X445" s="228" t="s">
        <v>350</v>
      </c>
      <c r="Y445" s="229">
        <f>SUM(AG273,AG278,AG283,AG288,AG293)</f>
        <v>0</v>
      </c>
      <c r="Z445" s="277" t="str">
        <f t="shared" si="4"/>
        <v>--</v>
      </c>
      <c r="AA445" s="228"/>
      <c r="AB445" s="228"/>
      <c r="AC445" s="228"/>
      <c r="AD445" s="228"/>
      <c r="AN445" s="22"/>
      <c r="AO445" s="22"/>
      <c r="BF445" s="5"/>
      <c r="BG445" s="5"/>
    </row>
    <row r="446" spans="17:59" ht="13.9" customHeight="1" x14ac:dyDescent="0.2">
      <c r="Q446" s="23"/>
      <c r="R446" s="238"/>
      <c r="S446" s="284" t="str">
        <f>B300</f>
        <v>Jätteiden loppusijoitus</v>
      </c>
      <c r="T446" s="281"/>
      <c r="U446" s="281"/>
      <c r="V446" s="281"/>
      <c r="W446" s="281" t="s">
        <v>688</v>
      </c>
      <c r="X446" s="281" t="s">
        <v>350</v>
      </c>
      <c r="Y446" s="282">
        <f>SUM(Y447:Y448)</f>
        <v>0</v>
      </c>
      <c r="Z446" s="283" t="str">
        <f t="shared" si="4"/>
        <v>--</v>
      </c>
      <c r="AA446" s="228"/>
      <c r="AB446" s="228"/>
      <c r="AC446" s="228"/>
      <c r="AD446" s="228"/>
      <c r="AN446" s="22"/>
      <c r="AO446" s="22"/>
      <c r="BF446" s="5"/>
      <c r="BG446" s="5"/>
    </row>
    <row r="447" spans="17:59" ht="13.9" customHeight="1" x14ac:dyDescent="0.2">
      <c r="Q447" s="23"/>
      <c r="R447" s="238"/>
      <c r="S447" s="246" t="str">
        <f>B302</f>
        <v>Poistettujen kertakäyttöisten rakenteiden ja materiaalien jatkokäsittely (pl. maa-ainekset)</v>
      </c>
      <c r="T447" s="228"/>
      <c r="U447" s="228"/>
      <c r="V447" s="228"/>
      <c r="W447" s="228" t="s">
        <v>600</v>
      </c>
      <c r="X447" s="228" t="s">
        <v>350</v>
      </c>
      <c r="Y447" s="229">
        <f>SUM(R307,R304,R310,R313,R316,R319)</f>
        <v>0</v>
      </c>
      <c r="Z447" s="277" t="str">
        <f t="shared" si="4"/>
        <v>--</v>
      </c>
      <c r="AA447" s="228"/>
      <c r="AB447" s="228"/>
      <c r="AC447" s="228"/>
      <c r="AD447" s="228"/>
      <c r="AN447" s="22"/>
      <c r="AO447" s="22"/>
      <c r="BF447" s="5"/>
      <c r="BG447" s="5"/>
    </row>
    <row r="448" spans="17:59" ht="13.9" customHeight="1" x14ac:dyDescent="0.2">
      <c r="Q448" s="23"/>
      <c r="R448" s="238"/>
      <c r="S448" s="246" t="str">
        <f>B323</f>
        <v>Poistetun maan jatkokäsittely vastaanottopaikassa</v>
      </c>
      <c r="T448" s="228"/>
      <c r="U448" s="228"/>
      <c r="V448" s="228"/>
      <c r="W448" s="228" t="s">
        <v>600</v>
      </c>
      <c r="X448" s="228" t="s">
        <v>350</v>
      </c>
      <c r="Y448" s="229">
        <f>SUM(R325,R327)</f>
        <v>0</v>
      </c>
      <c r="Z448" s="277" t="str">
        <f t="shared" si="4"/>
        <v>--</v>
      </c>
      <c r="AA448" s="228"/>
      <c r="AB448" s="228"/>
      <c r="AC448" s="228"/>
      <c r="AD448" s="228"/>
      <c r="AN448" s="22"/>
      <c r="AO448" s="22"/>
      <c r="BF448" s="5"/>
      <c r="BG448" s="5"/>
    </row>
    <row r="449" spans="17:59" ht="13.9" customHeight="1" x14ac:dyDescent="0.2">
      <c r="Q449" s="23"/>
      <c r="R449" s="238"/>
      <c r="S449" s="22"/>
      <c r="T449" s="228"/>
      <c r="U449" s="228"/>
      <c r="V449" s="228"/>
      <c r="W449" s="228"/>
      <c r="X449" s="228"/>
      <c r="Y449" s="229"/>
      <c r="Z449" s="277"/>
      <c r="AA449" s="228"/>
      <c r="AB449" s="228"/>
      <c r="AC449" s="228"/>
      <c r="AD449" s="228"/>
      <c r="AN449" s="22"/>
      <c r="AO449" s="22"/>
      <c r="BF449" s="5"/>
      <c r="BG449" s="5"/>
    </row>
    <row r="450" spans="17:59" ht="13.9" customHeight="1" x14ac:dyDescent="0.2">
      <c r="Q450" s="23"/>
      <c r="R450" s="238"/>
      <c r="S450" s="361" t="s">
        <v>583</v>
      </c>
      <c r="T450" s="228"/>
      <c r="U450" s="228"/>
      <c r="V450" s="228"/>
      <c r="W450" s="228"/>
      <c r="X450" s="228"/>
      <c r="Y450" s="392">
        <f>SUM(Y446,Y442:Y443,Y432:Y438,Y427:Y429,Y423:Y424,Y419,Y412)</f>
        <v>0</v>
      </c>
      <c r="Z450" s="393">
        <f>SUM(Z446,Z442:Z443,Z432:Z438,Z427:Z429,Z423:Z424,Z419,Z412)</f>
        <v>0</v>
      </c>
      <c r="AA450" s="228"/>
      <c r="AB450" s="228"/>
      <c r="AC450" s="228"/>
      <c r="AD450" s="228"/>
      <c r="AN450" s="22"/>
      <c r="AO450" s="22"/>
      <c r="BF450" s="5"/>
      <c r="BG450" s="5"/>
    </row>
    <row r="451" spans="17:59" ht="13.9" customHeight="1" x14ac:dyDescent="0.2">
      <c r="Q451" s="23"/>
      <c r="R451" s="238"/>
      <c r="S451" s="99"/>
      <c r="T451" s="228"/>
      <c r="U451" s="228"/>
      <c r="V451" s="228"/>
      <c r="W451" s="228"/>
      <c r="X451" s="228"/>
      <c r="Y451" s="229"/>
      <c r="Z451" s="228"/>
      <c r="AA451" s="228"/>
      <c r="AB451" s="228"/>
      <c r="AC451" s="228"/>
      <c r="AD451" s="228"/>
      <c r="AN451" s="22"/>
      <c r="AO451" s="22"/>
      <c r="BF451" s="5"/>
      <c r="BG451" s="5"/>
    </row>
    <row r="452" spans="17:59" ht="13.9" hidden="1" customHeight="1" x14ac:dyDescent="0.2">
      <c r="Q452" s="23"/>
      <c r="R452" s="238"/>
      <c r="S452" s="21"/>
      <c r="T452" s="228"/>
      <c r="U452" s="228"/>
      <c r="V452" s="228"/>
      <c r="W452" s="228"/>
      <c r="X452" s="228"/>
      <c r="Y452" s="228"/>
      <c r="Z452" s="228"/>
      <c r="AA452" s="228"/>
      <c r="AB452" s="228"/>
      <c r="AC452" s="228"/>
      <c r="AD452" s="228"/>
      <c r="AN452" s="22"/>
      <c r="AO452" s="22"/>
      <c r="BF452" s="5"/>
      <c r="BG452" s="5"/>
    </row>
    <row r="453" spans="17:59" ht="13.9" hidden="1" customHeight="1" x14ac:dyDescent="0.2">
      <c r="Q453" s="23"/>
      <c r="R453" s="238"/>
      <c r="S453" s="21"/>
      <c r="T453" s="228"/>
      <c r="U453" s="228"/>
      <c r="V453" s="228"/>
      <c r="W453" s="228"/>
      <c r="X453" s="228"/>
      <c r="Y453" s="228"/>
      <c r="Z453" s="228"/>
      <c r="AA453" s="228"/>
      <c r="AB453" s="228"/>
      <c r="AC453" s="228"/>
      <c r="AD453" s="228"/>
      <c r="AN453" s="22"/>
      <c r="AO453" s="22"/>
      <c r="BF453" s="5"/>
      <c r="BG453" s="5"/>
    </row>
    <row r="454" spans="17:59" ht="13.9" hidden="1" customHeight="1" x14ac:dyDescent="0.2">
      <c r="Q454" s="23"/>
      <c r="R454" s="238"/>
      <c r="S454" s="21"/>
      <c r="T454" s="228"/>
      <c r="U454" s="228"/>
      <c r="V454" s="228"/>
      <c r="W454" s="228"/>
      <c r="X454" s="228"/>
      <c r="Y454" s="228"/>
      <c r="Z454" s="228"/>
      <c r="AA454" s="228"/>
      <c r="AB454" s="228"/>
      <c r="AC454" s="228"/>
      <c r="AD454" s="228"/>
      <c r="AN454" s="22"/>
      <c r="AO454" s="22"/>
      <c r="BF454" s="5"/>
      <c r="BG454" s="5"/>
    </row>
    <row r="455" spans="17:59" ht="13.9" hidden="1" customHeight="1" x14ac:dyDescent="0.2">
      <c r="Q455" s="23"/>
      <c r="R455" s="238"/>
      <c r="S455" s="21"/>
      <c r="T455" s="228"/>
      <c r="U455" s="228"/>
      <c r="V455" s="228"/>
      <c r="W455" s="228"/>
      <c r="X455" s="228"/>
      <c r="Y455" s="228"/>
      <c r="Z455" s="228"/>
      <c r="AA455" s="228"/>
      <c r="AB455" s="228"/>
      <c r="AC455" s="228"/>
      <c r="AD455" s="228"/>
      <c r="AN455" s="22"/>
      <c r="AO455" s="22"/>
      <c r="BF455" s="5"/>
      <c r="BG455" s="5"/>
    </row>
    <row r="456" spans="17:59" ht="13.9" hidden="1" customHeight="1" x14ac:dyDescent="0.2">
      <c r="Q456" s="23"/>
      <c r="R456" s="238"/>
      <c r="S456" s="21"/>
      <c r="T456" s="228"/>
      <c r="U456" s="228"/>
      <c r="V456" s="228"/>
      <c r="W456" s="228"/>
      <c r="X456" s="228"/>
      <c r="Y456" s="228"/>
      <c r="Z456" s="228"/>
      <c r="AA456" s="228"/>
      <c r="AB456" s="228"/>
      <c r="AC456" s="228"/>
      <c r="AD456" s="228"/>
      <c r="AN456" s="22"/>
      <c r="AO456" s="22"/>
      <c r="BF456" s="5"/>
      <c r="BG456" s="5"/>
    </row>
    <row r="457" spans="17:59" ht="13.9" hidden="1" customHeight="1" x14ac:dyDescent="0.2">
      <c r="Q457" s="23"/>
      <c r="R457" s="238"/>
      <c r="S457" s="21"/>
      <c r="T457" s="228"/>
      <c r="U457" s="228"/>
      <c r="V457" s="228"/>
      <c r="W457" s="228"/>
      <c r="X457" s="228"/>
      <c r="Y457" s="228"/>
      <c r="Z457" s="228"/>
      <c r="AA457" s="228"/>
      <c r="AB457" s="228"/>
      <c r="AC457" s="228"/>
      <c r="AD457" s="228"/>
      <c r="AN457" s="22"/>
      <c r="AO457" s="22"/>
      <c r="BF457" s="5"/>
      <c r="BG457" s="5"/>
    </row>
    <row r="458" spans="17:59" ht="13.9" hidden="1" customHeight="1" x14ac:dyDescent="0.2">
      <c r="Q458" s="23"/>
      <c r="R458" s="238"/>
      <c r="S458" s="21"/>
      <c r="T458" s="228"/>
      <c r="U458" s="228"/>
      <c r="V458" s="228"/>
      <c r="W458" s="228"/>
      <c r="X458" s="228"/>
      <c r="Y458" s="228"/>
      <c r="Z458" s="228"/>
      <c r="AA458" s="228"/>
      <c r="AB458" s="228"/>
      <c r="AC458" s="228"/>
      <c r="AD458" s="228"/>
      <c r="AN458" s="22"/>
      <c r="AO458" s="22"/>
      <c r="BF458" s="5"/>
      <c r="BG458" s="5"/>
    </row>
    <row r="459" spans="17:59" ht="13.9" hidden="1" customHeight="1" x14ac:dyDescent="0.2">
      <c r="Q459" s="23"/>
      <c r="R459" s="238"/>
      <c r="S459" s="21"/>
      <c r="T459" s="228"/>
      <c r="U459" s="228"/>
      <c r="V459" s="228"/>
      <c r="W459" s="228"/>
      <c r="X459" s="228"/>
      <c r="Y459" s="228"/>
      <c r="Z459" s="228"/>
      <c r="AA459" s="228"/>
      <c r="AB459" s="228"/>
      <c r="AC459" s="228"/>
      <c r="AD459" s="228"/>
      <c r="AN459" s="22"/>
      <c r="AO459" s="22"/>
      <c r="BF459" s="5"/>
      <c r="BG459" s="5"/>
    </row>
    <row r="460" spans="17:59" ht="13.9" hidden="1" customHeight="1" x14ac:dyDescent="0.2">
      <c r="Q460" s="23"/>
      <c r="R460" s="238"/>
      <c r="S460" s="21"/>
      <c r="T460" s="228"/>
      <c r="U460" s="228"/>
      <c r="V460" s="228"/>
      <c r="W460" s="228"/>
      <c r="X460" s="228"/>
      <c r="Y460" s="228"/>
      <c r="Z460" s="228"/>
      <c r="AA460" s="228"/>
      <c r="AB460" s="228"/>
      <c r="AC460" s="228"/>
      <c r="AD460" s="228"/>
      <c r="AN460" s="22"/>
      <c r="AO460" s="22"/>
      <c r="BF460" s="5"/>
      <c r="BG460" s="5"/>
    </row>
    <row r="461" spans="17:59" ht="13.9" hidden="1" customHeight="1" x14ac:dyDescent="0.2">
      <c r="Q461" s="23"/>
      <c r="R461" s="238"/>
      <c r="S461" s="21"/>
      <c r="T461" s="228"/>
      <c r="U461" s="228"/>
      <c r="V461" s="228"/>
      <c r="W461" s="228"/>
      <c r="X461" s="228"/>
      <c r="Y461" s="228"/>
      <c r="Z461" s="228"/>
      <c r="AA461" s="228"/>
      <c r="AB461" s="228"/>
      <c r="AC461" s="228"/>
      <c r="AD461" s="228"/>
      <c r="AN461" s="22"/>
      <c r="AO461" s="22"/>
      <c r="BF461" s="5"/>
      <c r="BG461" s="5"/>
    </row>
    <row r="462" spans="17:59" ht="13.9" hidden="1" customHeight="1" x14ac:dyDescent="0.2">
      <c r="Q462" s="23"/>
      <c r="R462" s="238"/>
      <c r="S462" s="21"/>
      <c r="T462" s="228"/>
      <c r="U462" s="228"/>
      <c r="V462" s="228"/>
      <c r="W462" s="228"/>
      <c r="X462" s="228"/>
      <c r="Y462" s="228"/>
      <c r="Z462" s="228"/>
      <c r="AA462" s="228"/>
      <c r="AB462" s="228"/>
      <c r="AC462" s="228"/>
      <c r="AD462" s="228"/>
      <c r="AN462" s="22"/>
      <c r="AO462" s="22"/>
      <c r="BF462" s="5"/>
      <c r="BG462" s="5"/>
    </row>
    <row r="463" spans="17:59" ht="13.9" hidden="1" customHeight="1" x14ac:dyDescent="0.2">
      <c r="Q463" s="23"/>
      <c r="R463" s="238"/>
      <c r="S463" s="21"/>
      <c r="T463" s="228"/>
      <c r="U463" s="228"/>
      <c r="V463" s="228"/>
      <c r="W463" s="228"/>
      <c r="X463" s="228"/>
      <c r="Y463" s="228"/>
      <c r="Z463" s="228"/>
      <c r="AA463" s="228"/>
      <c r="AB463" s="228"/>
      <c r="AC463" s="228"/>
      <c r="AD463" s="228"/>
      <c r="AN463" s="22"/>
      <c r="AO463" s="22"/>
      <c r="BF463" s="5"/>
      <c r="BG463" s="5"/>
    </row>
    <row r="464" spans="17:59" ht="13.9" hidden="1" customHeight="1" x14ac:dyDescent="0.2">
      <c r="Q464" s="23"/>
      <c r="R464" s="238"/>
      <c r="S464" s="21"/>
      <c r="T464" s="228"/>
      <c r="U464" s="228"/>
      <c r="V464" s="228"/>
      <c r="W464" s="228"/>
      <c r="X464" s="228"/>
      <c r="Y464" s="228"/>
      <c r="Z464" s="228"/>
      <c r="AA464" s="228"/>
      <c r="AB464" s="228"/>
      <c r="AC464" s="228"/>
      <c r="AD464" s="228"/>
      <c r="AN464" s="22"/>
      <c r="AO464" s="22"/>
      <c r="BF464" s="5"/>
      <c r="BG464" s="5"/>
    </row>
    <row r="465" spans="17:59" ht="13.9" hidden="1" customHeight="1" x14ac:dyDescent="0.2">
      <c r="Q465" s="23"/>
      <c r="R465" s="238"/>
      <c r="S465" s="21"/>
      <c r="T465" s="228"/>
      <c r="U465" s="228"/>
      <c r="V465" s="228"/>
      <c r="W465" s="228"/>
      <c r="X465" s="228"/>
      <c r="Y465" s="228"/>
      <c r="Z465" s="228"/>
      <c r="AA465" s="228"/>
      <c r="AB465" s="228"/>
      <c r="AC465" s="228"/>
      <c r="AD465" s="228"/>
      <c r="AN465" s="22"/>
      <c r="AO465" s="22"/>
      <c r="BF465" s="5"/>
      <c r="BG465" s="5"/>
    </row>
    <row r="466" spans="17:59" ht="13.9" hidden="1" customHeight="1" x14ac:dyDescent="0.2">
      <c r="Q466" s="23"/>
      <c r="R466" s="238"/>
      <c r="S466" s="21"/>
      <c r="T466" s="228"/>
      <c r="U466" s="228"/>
      <c r="V466" s="228"/>
      <c r="W466" s="228"/>
      <c r="X466" s="228"/>
      <c r="Y466" s="228"/>
      <c r="Z466" s="228"/>
      <c r="AA466" s="228"/>
      <c r="AB466" s="228"/>
      <c r="AC466" s="228"/>
      <c r="AD466" s="228"/>
      <c r="AN466" s="22"/>
      <c r="AO466" s="22"/>
      <c r="BF466" s="5"/>
      <c r="BG466" s="5"/>
    </row>
    <row r="467" spans="17:59" ht="13.9" customHeight="1" x14ac:dyDescent="0.2">
      <c r="Q467" s="23"/>
      <c r="R467" s="238"/>
      <c r="S467" s="361"/>
      <c r="T467" s="228"/>
      <c r="U467" s="228"/>
      <c r="V467" s="228"/>
      <c r="W467" s="228"/>
      <c r="X467" s="228"/>
      <c r="Y467" s="228"/>
      <c r="Z467" s="228"/>
      <c r="AA467" s="228"/>
      <c r="AB467" s="228"/>
      <c r="AC467" s="228"/>
      <c r="AD467" s="228"/>
      <c r="AN467" s="22"/>
      <c r="AO467" s="22"/>
      <c r="BF467" s="5"/>
      <c r="BG467" s="5"/>
    </row>
    <row r="468" spans="17:59" ht="13.9" customHeight="1" x14ac:dyDescent="0.2">
      <c r="Q468" s="23"/>
      <c r="R468" s="238"/>
      <c r="S468" s="99" t="s">
        <v>594</v>
      </c>
      <c r="T468" s="228"/>
      <c r="U468" s="229">
        <f t="shared" ref="U468:U473" si="5">SUMIFS($Y$412:$Y$448,$W$412:$W$448,S468)</f>
        <v>0</v>
      </c>
      <c r="V468" s="277" t="str">
        <f>IF(ISERROR(U468/$U$474),"--",U468/$U$474)</f>
        <v>--</v>
      </c>
      <c r="W468" s="228"/>
      <c r="X468" s="228"/>
      <c r="Y468" s="228"/>
      <c r="Z468" s="228"/>
      <c r="AA468" s="228"/>
      <c r="AB468" s="228"/>
      <c r="AC468" s="228"/>
      <c r="AD468" s="228"/>
      <c r="AN468" s="22"/>
      <c r="AO468" s="22"/>
      <c r="BF468" s="5"/>
      <c r="BG468" s="5"/>
    </row>
    <row r="469" spans="17:59" ht="13.9" customHeight="1" x14ac:dyDescent="0.2">
      <c r="Q469" s="23"/>
      <c r="R469" s="238"/>
      <c r="S469" s="99" t="s">
        <v>40</v>
      </c>
      <c r="T469" s="228"/>
      <c r="U469" s="229">
        <f t="shared" si="5"/>
        <v>0</v>
      </c>
      <c r="V469" s="277" t="str">
        <f>IF(ISERROR(U469/$U$474),"--",U469/$U$474)</f>
        <v>--</v>
      </c>
      <c r="W469" s="228"/>
      <c r="X469" s="228"/>
      <c r="Y469" s="228"/>
      <c r="Z469" s="228"/>
      <c r="AA469" s="228"/>
      <c r="AB469" s="228"/>
      <c r="AC469" s="228"/>
      <c r="AD469" s="228"/>
      <c r="AN469" s="22"/>
      <c r="AO469" s="22"/>
      <c r="BF469" s="5"/>
      <c r="BG469" s="5"/>
    </row>
    <row r="470" spans="17:59" ht="13.9" customHeight="1" x14ac:dyDescent="0.2">
      <c r="Q470" s="23"/>
      <c r="R470" s="238"/>
      <c r="S470" s="99" t="s">
        <v>595</v>
      </c>
      <c r="T470" s="228"/>
      <c r="U470" s="229">
        <f t="shared" si="5"/>
        <v>0</v>
      </c>
      <c r="V470" s="277" t="str">
        <f>IF(ISERROR(U470/$U$474),"--",U470/$U$474)</f>
        <v>--</v>
      </c>
      <c r="W470" s="228"/>
      <c r="X470" s="228"/>
      <c r="Y470" s="228"/>
      <c r="Z470" s="228"/>
      <c r="AA470" s="228"/>
      <c r="AB470" s="228"/>
      <c r="AC470" s="228"/>
      <c r="AD470" s="228"/>
      <c r="AN470" s="22"/>
      <c r="AO470" s="22"/>
      <c r="BF470" s="5"/>
      <c r="BG470" s="5"/>
    </row>
    <row r="471" spans="17:59" ht="13.9" customHeight="1" x14ac:dyDescent="0.2">
      <c r="Q471" s="23"/>
      <c r="R471" s="238"/>
      <c r="S471" s="99" t="s">
        <v>683</v>
      </c>
      <c r="T471" s="228"/>
      <c r="U471" s="229">
        <f t="shared" si="5"/>
        <v>0</v>
      </c>
      <c r="V471" s="277" t="str">
        <f>IF(ISERROR(U471/$U$474),"--",U471/$U$474)</f>
        <v>--</v>
      </c>
      <c r="W471" s="228"/>
      <c r="X471" s="228"/>
      <c r="Y471" s="228"/>
      <c r="Z471" s="228"/>
      <c r="AA471" s="228"/>
      <c r="AB471" s="228"/>
      <c r="AC471" s="228"/>
      <c r="AD471" s="228"/>
      <c r="AN471" s="22"/>
      <c r="AO471" s="22"/>
      <c r="BF471" s="5"/>
      <c r="BG471" s="5"/>
    </row>
    <row r="472" spans="17:59" ht="13.9" customHeight="1" x14ac:dyDescent="0.2">
      <c r="Q472" s="23"/>
      <c r="R472" s="238"/>
      <c r="S472" s="99" t="s">
        <v>600</v>
      </c>
      <c r="T472" s="228"/>
      <c r="U472" s="229">
        <f t="shared" si="5"/>
        <v>0</v>
      </c>
      <c r="V472" s="277" t="str">
        <f>IF(ISERROR(U472/$U$474),"--",U472/$U$474)</f>
        <v>--</v>
      </c>
      <c r="W472" s="228"/>
      <c r="X472" s="228"/>
      <c r="Y472" s="228"/>
      <c r="Z472" s="228"/>
      <c r="AA472" s="228"/>
      <c r="AB472" s="228"/>
      <c r="AC472" s="228"/>
      <c r="AD472" s="228"/>
      <c r="AN472" s="22"/>
      <c r="AO472" s="22"/>
      <c r="BF472" s="5"/>
      <c r="BG472" s="5"/>
    </row>
    <row r="473" spans="17:59" ht="13.9" customHeight="1" x14ac:dyDescent="0.2">
      <c r="Q473" s="23"/>
      <c r="R473" s="238"/>
      <c r="S473" s="99" t="s">
        <v>601</v>
      </c>
      <c r="T473" s="228"/>
      <c r="U473" s="229">
        <f t="shared" si="5"/>
        <v>0</v>
      </c>
      <c r="V473" s="277" t="str">
        <f t="shared" ref="V473" si="6">IF(ISERROR(U473/$U$474),"--",U473/$U$474)</f>
        <v>--</v>
      </c>
      <c r="W473" s="228"/>
      <c r="X473" s="228"/>
      <c r="Y473" s="228"/>
      <c r="Z473" s="228"/>
      <c r="AA473" s="228"/>
      <c r="AB473" s="228"/>
      <c r="AC473" s="228"/>
      <c r="AD473" s="228"/>
      <c r="AN473" s="22"/>
      <c r="AO473" s="22"/>
      <c r="BF473" s="5"/>
      <c r="BG473" s="5"/>
    </row>
    <row r="474" spans="17:59" ht="13.9" customHeight="1" x14ac:dyDescent="0.2">
      <c r="Q474" s="23"/>
      <c r="R474" s="238"/>
      <c r="S474" s="99" t="s">
        <v>605</v>
      </c>
      <c r="T474" s="228"/>
      <c r="U474" s="229">
        <f>SUM(U468:U473)</f>
        <v>0</v>
      </c>
      <c r="V474" s="277" t="str">
        <f>IF(ISERROR(U474/$U$474),"--",U474/$U$474)</f>
        <v>--</v>
      </c>
      <c r="W474" s="228"/>
      <c r="X474" s="228"/>
      <c r="Y474" s="228"/>
      <c r="Z474" s="228"/>
      <c r="AA474" s="228"/>
      <c r="AB474" s="228"/>
      <c r="AC474" s="228"/>
      <c r="AD474" s="228"/>
      <c r="AN474" s="22"/>
      <c r="AO474" s="22"/>
      <c r="BF474" s="5"/>
      <c r="BG474" s="5"/>
    </row>
    <row r="475" spans="17:59" ht="13.9" customHeight="1" x14ac:dyDescent="0.2">
      <c r="Q475" s="23"/>
      <c r="R475" s="238"/>
      <c r="S475" s="99"/>
      <c r="T475" s="228"/>
      <c r="U475" s="229"/>
      <c r="V475" s="277"/>
      <c r="W475" s="228"/>
      <c r="X475" s="228"/>
      <c r="Y475" s="228"/>
      <c r="Z475" s="228"/>
      <c r="AA475" s="228"/>
      <c r="AB475" s="228"/>
      <c r="AC475" s="228"/>
      <c r="AD475" s="228"/>
      <c r="AN475" s="22"/>
      <c r="AO475" s="22"/>
      <c r="BF475" s="5"/>
      <c r="BG475" s="5"/>
    </row>
    <row r="476" spans="17:59" ht="13.9" customHeight="1" x14ac:dyDescent="0.2">
      <c r="S476" s="361" t="s">
        <v>686</v>
      </c>
    </row>
    <row r="477" spans="17:59" ht="13.9" customHeight="1" x14ac:dyDescent="0.2">
      <c r="Q477" s="23"/>
      <c r="R477" s="238"/>
      <c r="S477" s="284" t="s">
        <v>597</v>
      </c>
      <c r="T477" s="281"/>
      <c r="U477" s="281"/>
      <c r="V477" s="281"/>
      <c r="W477" s="281"/>
      <c r="X477" s="281"/>
      <c r="Y477" s="282">
        <f>SUM(Y478)</f>
        <v>0</v>
      </c>
      <c r="Z477" s="283"/>
      <c r="AA477" s="228"/>
      <c r="AB477" s="228"/>
      <c r="AC477" s="228"/>
      <c r="AD477" s="228"/>
      <c r="AN477" s="22"/>
      <c r="AO477" s="22"/>
      <c r="BF477" s="5"/>
      <c r="BG477" s="5"/>
    </row>
    <row r="478" spans="17:59" ht="13.9" customHeight="1" x14ac:dyDescent="0.2">
      <c r="Q478" s="23"/>
      <c r="R478" s="238"/>
      <c r="S478" s="246" t="s">
        <v>572</v>
      </c>
      <c r="T478" s="228"/>
      <c r="U478" s="228"/>
      <c r="V478" s="228"/>
      <c r="W478" s="228" t="s">
        <v>604</v>
      </c>
      <c r="X478" s="228" t="s">
        <v>573</v>
      </c>
      <c r="Y478" s="229">
        <f>SUM(R31)</f>
        <v>0</v>
      </c>
      <c r="Z478" s="277"/>
      <c r="AA478" s="228"/>
      <c r="AB478" s="228"/>
      <c r="AC478" s="228"/>
      <c r="AD478" s="228"/>
      <c r="AN478" s="22"/>
      <c r="AO478" s="22"/>
      <c r="BF478" s="5"/>
      <c r="BG478" s="5"/>
    </row>
    <row r="479" spans="17:59" ht="13.9" customHeight="1" x14ac:dyDescent="0.2">
      <c r="Q479" s="23"/>
      <c r="R479" s="238"/>
      <c r="S479" s="99" t="s">
        <v>598</v>
      </c>
      <c r="T479" s="228"/>
      <c r="U479" s="228"/>
      <c r="V479" s="228"/>
      <c r="W479" s="228"/>
      <c r="X479" s="228"/>
      <c r="Y479" s="228" t="s">
        <v>599</v>
      </c>
      <c r="Z479" s="228"/>
      <c r="AA479" s="228"/>
      <c r="AB479" s="228"/>
      <c r="AC479" s="228"/>
      <c r="AD479" s="228"/>
      <c r="AN479" s="22"/>
      <c r="AO479" s="22"/>
      <c r="BF479" s="5"/>
      <c r="BG479" s="5"/>
    </row>
    <row r="480" spans="17:59" ht="13.9" customHeight="1" x14ac:dyDescent="0.2">
      <c r="Q480" s="23"/>
      <c r="R480" s="238"/>
      <c r="S480" s="21"/>
      <c r="T480" s="228"/>
      <c r="U480" s="228"/>
      <c r="V480" s="228"/>
      <c r="W480" s="228"/>
      <c r="X480" s="228"/>
      <c r="Y480" s="228"/>
      <c r="Z480" s="228"/>
      <c r="AA480" s="228"/>
      <c r="AB480" s="228"/>
      <c r="AC480" s="228"/>
      <c r="AD480" s="228"/>
      <c r="AN480" s="22"/>
      <c r="AO480" s="22"/>
      <c r="BF480" s="5"/>
      <c r="BG480" s="5"/>
    </row>
    <row r="481" spans="17:59" ht="13.9" customHeight="1" x14ac:dyDescent="0.2">
      <c r="Q481" s="23"/>
      <c r="R481" s="238"/>
      <c r="S481" s="284" t="s">
        <v>351</v>
      </c>
      <c r="T481" s="281"/>
      <c r="U481" s="281"/>
      <c r="V481" s="281"/>
      <c r="W481" s="281" t="s">
        <v>689</v>
      </c>
      <c r="X481" s="281"/>
      <c r="Y481" s="282">
        <f>SUM(Y484,Y483)</f>
        <v>0</v>
      </c>
      <c r="Z481" s="283"/>
      <c r="AA481" s="228"/>
      <c r="AB481" s="228"/>
      <c r="AC481" s="228"/>
      <c r="AD481" s="228"/>
      <c r="AN481" s="22"/>
      <c r="AO481" s="22"/>
      <c r="BF481" s="5"/>
      <c r="BG481" s="5"/>
    </row>
    <row r="482" spans="17:59" ht="13.9" customHeight="1" x14ac:dyDescent="0.2">
      <c r="Q482" s="23"/>
      <c r="R482" s="238"/>
      <c r="S482" s="246" t="s">
        <v>607</v>
      </c>
      <c r="T482" s="228"/>
      <c r="U482" s="228"/>
      <c r="V482" s="228"/>
      <c r="W482" s="228" t="s">
        <v>582</v>
      </c>
      <c r="X482" s="228" t="s">
        <v>582</v>
      </c>
      <c r="Y482" s="229">
        <f>SUM(R81)</f>
        <v>0</v>
      </c>
      <c r="Z482" s="277"/>
      <c r="AA482" s="228"/>
      <c r="AB482" s="228"/>
      <c r="AC482" s="228"/>
      <c r="AD482" s="228"/>
      <c r="AN482" s="22"/>
      <c r="AO482" s="22"/>
      <c r="BF482" s="5"/>
      <c r="BG482" s="5"/>
    </row>
    <row r="483" spans="17:59" ht="13.9" customHeight="1" x14ac:dyDescent="0.2">
      <c r="Q483" s="23"/>
      <c r="R483" s="238"/>
      <c r="S483" s="246" t="s">
        <v>609</v>
      </c>
      <c r="T483" s="228"/>
      <c r="U483" s="228"/>
      <c r="V483" s="228"/>
      <c r="W483" s="228" t="s">
        <v>582</v>
      </c>
      <c r="X483" s="228" t="s">
        <v>350</v>
      </c>
      <c r="Y483" s="229">
        <f>SUM(R308,R309,R311,R312,R314,R315,R317,R318,R320,R321)</f>
        <v>0</v>
      </c>
      <c r="Z483" s="277"/>
      <c r="AA483" s="228"/>
      <c r="AB483" s="228"/>
      <c r="AC483" s="228"/>
      <c r="AD483" s="228"/>
      <c r="AN483" s="22"/>
      <c r="AO483" s="22"/>
      <c r="BF483" s="5"/>
      <c r="BG483" s="5"/>
    </row>
    <row r="484" spans="17:59" ht="13.9" customHeight="1" x14ac:dyDescent="0.2">
      <c r="Q484" s="23"/>
      <c r="R484" s="238"/>
      <c r="S484" s="246" t="s">
        <v>610</v>
      </c>
      <c r="T484" s="228"/>
      <c r="U484" s="228"/>
      <c r="V484" s="228"/>
      <c r="W484" s="228" t="s">
        <v>582</v>
      </c>
      <c r="X484" s="228" t="s">
        <v>350</v>
      </c>
      <c r="Y484" s="229">
        <f>SUM(R328)</f>
        <v>0</v>
      </c>
      <c r="Z484" s="277"/>
      <c r="AA484" s="228"/>
      <c r="AB484" s="228"/>
      <c r="AC484" s="228"/>
      <c r="AD484" s="228"/>
      <c r="AN484" s="22"/>
      <c r="AO484" s="22"/>
      <c r="BF484" s="5"/>
      <c r="BG484" s="5"/>
    </row>
  </sheetData>
  <dataConsolidate/>
  <mergeCells count="66">
    <mergeCell ref="C63:G63"/>
    <mergeCell ref="C12:G12"/>
    <mergeCell ref="C17:G17"/>
    <mergeCell ref="C22:G22"/>
    <mergeCell ref="C27:D27"/>
    <mergeCell ref="C58:G58"/>
    <mergeCell ref="C45:G45"/>
    <mergeCell ref="C103:G103"/>
    <mergeCell ref="C108:G108"/>
    <mergeCell ref="C113:G113"/>
    <mergeCell ref="C118:G118"/>
    <mergeCell ref="C122:D122"/>
    <mergeCell ref="C68:G68"/>
    <mergeCell ref="C98:G98"/>
    <mergeCell ref="C73:G73"/>
    <mergeCell ref="C78:G78"/>
    <mergeCell ref="C82:D82"/>
    <mergeCell ref="C159:D159"/>
    <mergeCell ref="C160:D160"/>
    <mergeCell ref="C161:D161"/>
    <mergeCell ref="C199:D199"/>
    <mergeCell ref="C223:D223"/>
    <mergeCell ref="C211:D211"/>
    <mergeCell ref="C294:G294"/>
    <mergeCell ref="C164:D164"/>
    <mergeCell ref="C165:G165"/>
    <mergeCell ref="C167:D167"/>
    <mergeCell ref="C168:D168"/>
    <mergeCell ref="C235:D235"/>
    <mergeCell ref="C258:G258"/>
    <mergeCell ref="C262:G262"/>
    <mergeCell ref="C266:G266"/>
    <mergeCell ref="C284:G284"/>
    <mergeCell ref="C289:G289"/>
    <mergeCell ref="C336:D336"/>
    <mergeCell ref="C41:G41"/>
    <mergeCell ref="C49:G49"/>
    <mergeCell ref="C134:D134"/>
    <mergeCell ref="C137:D137"/>
    <mergeCell ref="C140:D140"/>
    <mergeCell ref="C143:D143"/>
    <mergeCell ref="C146:D146"/>
    <mergeCell ref="C185:D185"/>
    <mergeCell ref="C188:D188"/>
    <mergeCell ref="C180:D180"/>
    <mergeCell ref="C175:D175"/>
    <mergeCell ref="C172:D172"/>
    <mergeCell ref="C173:G173"/>
    <mergeCell ref="C176:D176"/>
    <mergeCell ref="C177:D177"/>
    <mergeCell ref="C127:G127"/>
    <mergeCell ref="C193:D193"/>
    <mergeCell ref="C274:G274"/>
    <mergeCell ref="C279:G279"/>
    <mergeCell ref="C249:D249"/>
    <mergeCell ref="C183:D183"/>
    <mergeCell ref="C184:D184"/>
    <mergeCell ref="C189:G189"/>
    <mergeCell ref="C191:D191"/>
    <mergeCell ref="C192:D192"/>
    <mergeCell ref="B151:H151"/>
    <mergeCell ref="B152:H152"/>
    <mergeCell ref="C156:D156"/>
    <mergeCell ref="C157:G157"/>
    <mergeCell ref="C169:D169"/>
    <mergeCell ref="C181:G181"/>
  </mergeCells>
  <conditionalFormatting sqref="G57">
    <cfRule type="expression" dxfId="117" priority="34">
      <formula>(D57="t")</formula>
    </cfRule>
  </conditionalFormatting>
  <conditionalFormatting sqref="G62">
    <cfRule type="expression" dxfId="116" priority="33">
      <formula>(D62="t")</formula>
    </cfRule>
  </conditionalFormatting>
  <conditionalFormatting sqref="G67">
    <cfRule type="expression" dxfId="115" priority="32">
      <formula>(D67="t")</formula>
    </cfRule>
  </conditionalFormatting>
  <conditionalFormatting sqref="G72">
    <cfRule type="expression" dxfId="114" priority="31">
      <formula>(D72="t")</formula>
    </cfRule>
  </conditionalFormatting>
  <conditionalFormatting sqref="G77">
    <cfRule type="expression" dxfId="113" priority="30">
      <formula>(D77="t")</formula>
    </cfRule>
  </conditionalFormatting>
  <conditionalFormatting sqref="G135 G138 G141 G144 G147">
    <cfRule type="expression" dxfId="112" priority="1">
      <formula>$D135="Oma yksikkö"</formula>
    </cfRule>
  </conditionalFormatting>
  <conditionalFormatting sqref="G273">
    <cfRule type="expression" dxfId="111" priority="20">
      <formula>(D273="t")</formula>
    </cfRule>
  </conditionalFormatting>
  <conditionalFormatting sqref="G278">
    <cfRule type="expression" dxfId="110" priority="18">
      <formula>(D278="t")</formula>
    </cfRule>
  </conditionalFormatting>
  <conditionalFormatting sqref="G283">
    <cfRule type="expression" dxfId="109" priority="17">
      <formula>(D283="t")</formula>
    </cfRule>
  </conditionalFormatting>
  <conditionalFormatting sqref="G288">
    <cfRule type="expression" dxfId="108" priority="16">
      <formula>(D288="t")</formula>
    </cfRule>
  </conditionalFormatting>
  <conditionalFormatting sqref="G293">
    <cfRule type="expression" dxfId="107" priority="19">
      <formula>(D293="t")</formula>
    </cfRule>
  </conditionalFormatting>
  <pageMargins left="0.70866141732283472" right="0.70866141732283472" top="0.74803149606299213" bottom="0.74803149606299213" header="0.31496062992125984" footer="0.31496062992125984"/>
  <pageSetup paperSize="9" scale="75" orientation="landscape" verticalDpi="0" r:id="rId1"/>
  <headerFooter>
    <oddHeader>&amp;L&amp;"-,Lihavoitu"&amp;12PIIP-laskentatyökalu&amp;RInjektoinnit
Sivu &amp;P/&amp;N</oddHeader>
    <oddFooter>&amp;L&amp;G&amp;R&amp;G</oddFooter>
  </headerFooter>
  <ignoredErrors>
    <ignoredError sqref="K310 K313 R313 K316 R316 K319 R319" formula="1"/>
  </ignoredErrors>
  <legacy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49" id="{4DF8A263-2DA9-4040-8EC9-9F8C534E274D}">
            <xm:f>$C$49=Pudotusvalikot!$D$68</xm:f>
            <x14:dxf>
              <fill>
                <patternFill>
                  <bgColor theme="2" tint="0.59996337778862885"/>
                </patternFill>
              </fill>
            </x14:dxf>
          </x14:cfRule>
          <xm:sqref>L41:L42 L45:L46 L49:L50 L250</xm:sqref>
        </x14:conditionalFormatting>
        <x14:conditionalFormatting xmlns:xm="http://schemas.microsoft.com/office/excel/2006/main">
          <x14:cfRule type="expression" priority="2" id="{9BA3C854-8F8F-456B-BAAF-8F4FFABEF794}">
            <xm:f>$C$41=Pudotusvalikot!$D$68</xm:f>
            <x14:dxf>
              <fill>
                <patternFill>
                  <bgColor theme="2" tint="0.59996337778862885"/>
                </patternFill>
              </fill>
            </x14:dxf>
          </x14:cfRule>
          <xm:sqref>L126</xm:sqref>
        </x14:conditionalFormatting>
        <x14:conditionalFormatting xmlns:xm="http://schemas.microsoft.com/office/excel/2006/main">
          <x14:cfRule type="expression" priority="69" id="{F8951FDE-E2E2-43AF-80C7-29792187565E}">
            <xm:f>#REF!=Pudotusvalikot!$D$68</xm:f>
            <x14:dxf>
              <fill>
                <patternFill>
                  <bgColor theme="2" tint="0.59996337778862885"/>
                </patternFill>
              </fill>
            </x14:dxf>
          </x14:cfRule>
          <xm:sqref>L199</xm:sqref>
        </x14:conditionalFormatting>
        <x14:conditionalFormatting xmlns:xm="http://schemas.microsoft.com/office/excel/2006/main">
          <x14:cfRule type="expression" priority="29" id="{C39B32A1-8C35-4B5F-89BA-1BA782CDF694}">
            <xm:f>#REF!=Pudotusvalikot!$D$68</xm:f>
            <x14:dxf>
              <fill>
                <patternFill>
                  <bgColor theme="2" tint="0.59996337778862885"/>
                </patternFill>
              </fill>
            </x14:dxf>
          </x14:cfRule>
          <xm:sqref>L200</xm:sqref>
        </x14:conditionalFormatting>
        <x14:conditionalFormatting xmlns:xm="http://schemas.microsoft.com/office/excel/2006/main">
          <x14:cfRule type="expression" priority="85" id="{D3B7FAEB-1A41-462D-893E-797B3640F57D}">
            <xm:f>#REF!=Pudotusvalikot!$D$68</xm:f>
            <x14:dxf>
              <fill>
                <patternFill>
                  <bgColor theme="2" tint="0.59996337778862885"/>
                </patternFill>
              </fill>
            </x14:dxf>
          </x14:cfRule>
          <xm:sqref>L205</xm:sqref>
        </x14:conditionalFormatting>
        <x14:conditionalFormatting xmlns:xm="http://schemas.microsoft.com/office/excel/2006/main">
          <x14:cfRule type="expression" priority="27" id="{FF6A8953-735A-40E2-9829-E7956E635885}">
            <xm:f>#REF!=Pudotusvalikot!$D$68</xm:f>
            <x14:dxf>
              <fill>
                <patternFill>
                  <bgColor theme="2" tint="0.59996337778862885"/>
                </patternFill>
              </fill>
            </x14:dxf>
          </x14:cfRule>
          <xm:sqref>L211:L212</xm:sqref>
        </x14:conditionalFormatting>
        <x14:conditionalFormatting xmlns:xm="http://schemas.microsoft.com/office/excel/2006/main">
          <x14:cfRule type="expression" priority="59" id="{F4BF145C-F66A-423F-B6AE-925CA3E70FF0}">
            <xm:f>#REF!=Pudotusvalikot!$D$68</xm:f>
            <x14:dxf>
              <fill>
                <patternFill>
                  <bgColor theme="2" tint="0.59996337778862885"/>
                </patternFill>
              </fill>
            </x14:dxf>
          </x14:cfRule>
          <xm:sqref>L217</xm:sqref>
        </x14:conditionalFormatting>
        <x14:conditionalFormatting xmlns:xm="http://schemas.microsoft.com/office/excel/2006/main">
          <x14:cfRule type="expression" priority="25" id="{7700F9C7-DCF1-4248-9062-DC99A1BD31A5}">
            <xm:f>#REF!=Pudotusvalikot!$D$68</xm:f>
            <x14:dxf>
              <fill>
                <patternFill>
                  <bgColor theme="2" tint="0.59996337778862885"/>
                </patternFill>
              </fill>
            </x14:dxf>
          </x14:cfRule>
          <xm:sqref>L223:L224</xm:sqref>
        </x14:conditionalFormatting>
        <x14:conditionalFormatting xmlns:xm="http://schemas.microsoft.com/office/excel/2006/main">
          <x14:cfRule type="expression" priority="26" id="{1A9A91A7-622F-4969-9D6E-3AC245B5F5EF}">
            <xm:f>#REF!=Pudotusvalikot!$D$68</xm:f>
            <x14:dxf>
              <fill>
                <patternFill>
                  <bgColor theme="2" tint="0.59996337778862885"/>
                </patternFill>
              </fill>
            </x14:dxf>
          </x14:cfRule>
          <xm:sqref>L229</xm:sqref>
        </x14:conditionalFormatting>
        <x14:conditionalFormatting xmlns:xm="http://schemas.microsoft.com/office/excel/2006/main">
          <x14:cfRule type="expression" priority="23" id="{638E4367-71AB-4783-A475-988E348A9B0D}">
            <xm:f>#REF!=Pudotusvalikot!$D$68</xm:f>
            <x14:dxf>
              <fill>
                <patternFill>
                  <bgColor theme="2" tint="0.59996337778862885"/>
                </patternFill>
              </fill>
            </x14:dxf>
          </x14:cfRule>
          <xm:sqref>L235:L236</xm:sqref>
        </x14:conditionalFormatting>
        <x14:conditionalFormatting xmlns:xm="http://schemas.microsoft.com/office/excel/2006/main">
          <x14:cfRule type="expression" priority="24" id="{35384144-0EDE-4161-B7EE-F355A05A2A9B}">
            <xm:f>#REF!=Pudotusvalikot!$D$68</xm:f>
            <x14:dxf>
              <fill>
                <patternFill>
                  <bgColor theme="2" tint="0.59996337778862885"/>
                </patternFill>
              </fill>
            </x14:dxf>
          </x14:cfRule>
          <xm:sqref>L241</xm:sqref>
        </x14:conditionalFormatting>
        <x14:conditionalFormatting xmlns:xm="http://schemas.microsoft.com/office/excel/2006/main">
          <x14:cfRule type="expression" priority="22" id="{25A36A7C-D0FD-4101-A0A3-23D772F68EDA}">
            <xm:f>$C$48=Pudotusvalikot!$D$68</xm:f>
            <x14:dxf>
              <fill>
                <patternFill>
                  <bgColor theme="2" tint="0.59996337778862885"/>
                </patternFill>
              </fill>
            </x14:dxf>
          </x14:cfRule>
          <xm:sqref>L242</xm:sqref>
        </x14:conditionalFormatting>
        <x14:conditionalFormatting xmlns:xm="http://schemas.microsoft.com/office/excel/2006/main">
          <x14:cfRule type="expression" priority="4" id="{60628AAA-82BA-481B-957C-FE2F826DB81C}">
            <xm:f>$C$57=Pudotusvalikot!$D$68</xm:f>
            <x14:dxf>
              <fill>
                <patternFill>
                  <bgColor theme="2" tint="0.59996337778862885"/>
                </patternFill>
              </fill>
            </x14:dxf>
          </x14:cfRule>
          <xm:sqref>L245 L327:L328 L336</xm:sqref>
        </x14:conditionalFormatting>
        <x14:conditionalFormatting xmlns:xm="http://schemas.microsoft.com/office/excel/2006/main">
          <x14:cfRule type="expression" priority="5" id="{A943D192-A04F-4119-A265-10BED82F142E}">
            <xm:f>$C$57=Pudotusvalikot!$D$68</xm:f>
            <x14:dxf>
              <fill>
                <patternFill>
                  <bgColor theme="2" tint="0.59996337778862885"/>
                </patternFill>
              </fill>
            </x14:dxf>
          </x14:cfRule>
          <xm:sqref>L247</xm:sqref>
        </x14:conditionalFormatting>
        <x14:conditionalFormatting xmlns:xm="http://schemas.microsoft.com/office/excel/2006/main">
          <x14:cfRule type="expression" priority="14" id="{3533A10B-FD02-476C-B10A-161B714CCDE9}">
            <xm:f>$C$57=Pudotusvalikot!$D$68</xm:f>
            <x14:dxf>
              <fill>
                <patternFill>
                  <bgColor theme="2" tint="0.59996337778862885"/>
                </patternFill>
              </fill>
            </x14:dxf>
          </x14:cfRule>
          <xm:sqref>L249</xm:sqref>
        </x14:conditionalFormatting>
        <x14:conditionalFormatting xmlns:xm="http://schemas.microsoft.com/office/excel/2006/main">
          <x14:cfRule type="expression" priority="21" id="{EF8F7E6C-0628-48A7-B7CA-5C10A679E404}">
            <xm:f>#REF!=Pudotusvalikot!$D$68</xm:f>
            <x14:dxf>
              <fill>
                <patternFill>
                  <bgColor theme="2" tint="0.59996337778862885"/>
                </patternFill>
              </fill>
            </x14:dxf>
          </x14:cfRule>
          <xm:sqref>L258 L262 L266</xm:sqref>
        </x14:conditionalFormatting>
        <x14:conditionalFormatting xmlns:xm="http://schemas.microsoft.com/office/excel/2006/main">
          <x14:cfRule type="expression" priority="13" id="{AF224744-C90C-4B09-8307-D101C77A7451}">
            <xm:f>$C$57=Pudotusvalikot!$D$68</xm:f>
            <x14:dxf>
              <fill>
                <patternFill>
                  <bgColor theme="2" tint="0.59996337778862885"/>
                </patternFill>
              </fill>
            </x14:dxf>
          </x14:cfRule>
          <xm:sqref>L304</xm:sqref>
        </x14:conditionalFormatting>
        <x14:conditionalFormatting xmlns:xm="http://schemas.microsoft.com/office/excel/2006/main">
          <x14:cfRule type="expression" priority="7" id="{D07D63E7-0EDB-499B-9EF9-0618522CBD73}">
            <xm:f>$C$57=Pudotusvalikot!$D$68</xm:f>
            <x14:dxf>
              <fill>
                <patternFill>
                  <bgColor theme="2" tint="0.59996337778862885"/>
                </patternFill>
              </fill>
            </x14:dxf>
          </x14:cfRule>
          <xm:sqref>L307:L321</xm:sqref>
        </x14:conditionalFormatting>
        <x14:conditionalFormatting xmlns:xm="http://schemas.microsoft.com/office/excel/2006/main">
          <x14:cfRule type="expression" priority="12" id="{E42F731F-6F93-40C2-984E-2F4FFE4029C1}">
            <xm:f>$C$57=Pudotusvalikot!$D$68</xm:f>
            <x14:dxf>
              <fill>
                <patternFill>
                  <bgColor theme="2" tint="0.59996337778862885"/>
                </patternFill>
              </fill>
            </x14:dxf>
          </x14:cfRule>
          <xm:sqref>L325</xm:sqref>
        </x14:conditionalFormatting>
        <x14:conditionalFormatting xmlns:xm="http://schemas.microsoft.com/office/excel/2006/main">
          <x14:cfRule type="expression" priority="3" id="{4380C59D-9ECE-4314-87BC-40581AD8BC5C}">
            <xm:f>$C$57=Pudotusvalikot!$D$68</xm:f>
            <x14:dxf>
              <fill>
                <patternFill>
                  <bgColor theme="2" tint="0.59996337778862885"/>
                </patternFill>
              </fill>
            </x14:dxf>
          </x14:cfRule>
          <xm:sqref>L334</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87350B03-8C96-4D45-BC33-BE0E5B1DC820}">
          <x14:formula1>
            <xm:f>Pudotusvalikot!$T$3:$T$7</xm:f>
          </x14:formula1>
          <xm:sqref>D201 D225 D213 D237</xm:sqref>
        </x14:dataValidation>
        <x14:dataValidation type="list" allowBlank="1" showInputMessage="1" showErrorMessage="1" xr:uid="{00EBFE2C-5C57-4CCD-8678-59F4D57AEF1A}">
          <x14:formula1>
            <xm:f>Pudotusvalikot!$D$14:$D$65</xm:f>
          </x14:formula1>
          <xm:sqref>C118 C274 C279 C284 C289 C294 C103 C108 C113 C63 C68 C73 C78 C58 C189 C157 C181 C98 C22 C17 C12 C173 C165</xm:sqref>
        </x14:dataValidation>
        <x14:dataValidation type="list" errorStyle="warning" allowBlank="1" showInputMessage="1" showErrorMessage="1" xr:uid="{4DFDD2CF-4902-40A2-ABD0-9101564615A1}">
          <x14:formula1>
            <xm:f>Pudotusvalikot!$B$3:$B$5</xm:f>
          </x14:formula1>
          <xm:sqref>C82 C122 C27 C297:C299</xm:sqref>
        </x14:dataValidation>
        <x14:dataValidation type="list" allowBlank="1" showInputMessage="1" showErrorMessage="1" xr:uid="{3F74CE9C-CBD3-4E90-B2D0-EC5E4F1C8847}">
          <x14:formula1>
            <xm:f>Pudotusvalikot!$D$67:$D$92</xm:f>
          </x14:formula1>
          <xm:sqref>C262 C266 C258</xm:sqref>
        </x14:dataValidation>
        <x14:dataValidation type="list" allowBlank="1" showInputMessage="1" showErrorMessage="1" xr:uid="{9860FF58-FEEF-4666-86D2-2C37C4C00B7D}">
          <x14:formula1>
            <xm:f>Pudotusvalikot!$D$67:$D$106</xm:f>
          </x14:formula1>
          <xm:sqref>C41 C127 C49 C45</xm:sqref>
        </x14:dataValidation>
        <x14:dataValidation type="list" allowBlank="1" showInputMessage="1" showErrorMessage="1" xr:uid="{0CF9DB52-FA84-4798-9772-8268C8153A02}">
          <x14:formula1>
            <xm:f>Pudotusvalikot!$N$3:$N$7</xm:f>
          </x14:formula1>
          <xm:sqref>C159:C161 C167:C169 C183:C185 C175:C177 C191:C193</xm:sqref>
        </x14:dataValidation>
        <x14:dataValidation type="list" allowBlank="1" showInputMessage="1" showErrorMessage="1" xr:uid="{77FE5450-E859-4162-B031-562F21AD0CF8}">
          <x14:formula1>
            <xm:f>Pudotusvalikot!$F$3:$F$7</xm:f>
          </x14:formula1>
          <xm:sqref>D62 D72 D77 D288 D278 D293 D67 D57 F92 D92 D86:F90 D283 D273</xm:sqref>
        </x14:dataValidation>
        <x14:dataValidation type="list" allowBlank="1" showInputMessage="1" showErrorMessage="1" xr:uid="{267125F4-EE50-46EC-89F3-E77AB68EFE4B}">
          <x14:formula1>
            <xm:f>Pudotusvalikot!$V$3:$V$9</xm:f>
          </x14:formula1>
          <xm:sqref>C13 C18 C23 C32 C34 C36 C42 C46 C50 C59 C64 C69 C74 C79 C99 C104 C109 C114 C119 C158 C166 C174 C182 C190 C259 C263 C267 C275 C280 C285 C290 C295 C326 C305 C128</xm:sqref>
        </x14:dataValidation>
        <x14:dataValidation type="list" allowBlank="1" showInputMessage="1" showErrorMessage="1" xr:uid="{3CB45793-E5CB-4D56-B742-17F898B88A32}">
          <x14:formula1>
            <xm:f>Pudotusvalikot!$X$3:$X$7</xm:f>
          </x14:formula1>
          <xm:sqref>D203</xm:sqref>
        </x14:dataValidation>
        <x14:dataValidation type="list" allowBlank="1" showInputMessage="1" showErrorMessage="1" xr:uid="{4249CFF3-75D8-46F0-975A-AC5FC4909F0A}">
          <x14:formula1>
            <xm:f>Pudotusvalikot!$H$3:$H$8</xm:f>
          </x14:formula1>
          <xm:sqref>D129</xm:sqref>
        </x14:dataValidation>
        <x14:dataValidation type="list" allowBlank="1" showInputMessage="1" showErrorMessage="1" xr:uid="{F34110EF-5957-4A2B-9AAD-85B3B560D24C}">
          <x14:formula1>
            <xm:f>Pudotusvalikot!$Z$3:$Z$7</xm:f>
          </x14:formula1>
          <xm:sqref>C199:D199 C211:D211 C223:D223 C235:D235</xm:sqref>
        </x14:dataValidation>
        <x14:dataValidation type="list" allowBlank="1" showInputMessage="1" showErrorMessage="1" xr:uid="{13F54F15-1C06-4D7E-BEF1-DD117A0144C5}">
          <x14:formula1>
            <xm:f>Pudotusvalikot!$J$3:$J$11</xm:f>
          </x14:formula1>
          <xm:sqref>C249 C336</xm:sqref>
        </x14:dataValidation>
        <x14:dataValidation type="list" errorStyle="warning" allowBlank="1" showInputMessage="1" showErrorMessage="1" xr:uid="{9B654A35-C45A-4C63-B08E-F9638647E6D5}">
          <x14:formula1>
            <xm:f>Pudotusvalikot!$J$14:$J$33</xm:f>
          </x14:formula1>
          <xm:sqref>C134:D134 C137:D137 C140:D140 C143:D143 C146:D146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DB7E7-26F4-4586-80E1-A220540673A7}">
  <sheetPr codeName="Sheet6">
    <tabColor theme="5" tint="0.79998168889431442"/>
  </sheetPr>
  <dimension ref="B1:BG481"/>
  <sheetViews>
    <sheetView zoomScale="85" zoomScaleNormal="85" workbookViewId="0">
      <pane xSplit="1" ySplit="5" topLeftCell="B6" activePane="bottomRight" state="frozen"/>
      <selection pane="topRight" activeCell="B1" sqref="B1"/>
      <selection pane="bottomLeft" activeCell="A6" sqref="A6"/>
      <selection pane="bottomRight" activeCell="C4" sqref="C4"/>
    </sheetView>
  </sheetViews>
  <sheetFormatPr defaultColWidth="9" defaultRowHeight="13.9" customHeight="1" x14ac:dyDescent="0.2"/>
  <cols>
    <col min="1" max="1" width="2.75" style="5" customWidth="1"/>
    <col min="2" max="2" width="88.875" style="5" customWidth="1"/>
    <col min="3" max="3" width="20.75" style="12" customWidth="1"/>
    <col min="4" max="4" width="12.75" style="5" bestFit="1" customWidth="1"/>
    <col min="5" max="5" width="2.25" style="5" customWidth="1"/>
    <col min="6" max="6" width="3.75" style="5" customWidth="1"/>
    <col min="7" max="7" width="20.75" style="12" customWidth="1"/>
    <col min="8" max="8" width="8.75" style="5" customWidth="1"/>
    <col min="9" max="9" width="11.375" style="5" customWidth="1"/>
    <col min="10" max="10" width="60.75" style="14" customWidth="1"/>
    <col min="11" max="12" width="15.75" style="12" customWidth="1"/>
    <col min="13" max="13" width="11" style="12" bestFit="1" customWidth="1"/>
    <col min="14" max="14" width="2.625" style="12" customWidth="1"/>
    <col min="15" max="15" width="80.625" style="12" customWidth="1"/>
    <col min="16" max="16" width="2.75" style="5" customWidth="1"/>
    <col min="17" max="17" width="2.75" style="138" customWidth="1"/>
    <col min="18" max="18" width="15.75" style="243" customWidth="1"/>
    <col min="19" max="19" width="15.75" style="244" customWidth="1"/>
    <col min="20" max="20" width="26.875" style="245" bestFit="1" customWidth="1"/>
    <col min="21" max="36" width="25.75" style="228" customWidth="1"/>
    <col min="37" max="37" width="25.75" style="21" customWidth="1"/>
    <col min="38" max="39" width="15.75" style="21" customWidth="1"/>
    <col min="40" max="41" width="9" style="21"/>
    <col min="42" max="59" width="9" style="22"/>
    <col min="60" max="16384" width="9" style="5"/>
  </cols>
  <sheetData>
    <row r="1" spans="2:59" s="30" customFormat="1" ht="15" x14ac:dyDescent="0.2">
      <c r="C1" s="33"/>
      <c r="G1" s="33"/>
      <c r="J1" s="32"/>
      <c r="K1" s="33"/>
      <c r="L1" s="33"/>
      <c r="M1" s="33"/>
      <c r="N1" s="33"/>
      <c r="O1" s="33"/>
      <c r="Q1" s="129"/>
      <c r="R1" s="237"/>
      <c r="S1" s="220"/>
      <c r="T1" s="170"/>
      <c r="U1" s="43"/>
      <c r="V1" s="43"/>
      <c r="W1" s="43"/>
      <c r="X1" s="43"/>
      <c r="Y1" s="43"/>
      <c r="Z1" s="43"/>
      <c r="AA1" s="43"/>
      <c r="AB1" s="43"/>
      <c r="AC1" s="43"/>
      <c r="AD1" s="43"/>
      <c r="AE1" s="43"/>
      <c r="AF1" s="43"/>
      <c r="AG1" s="43"/>
      <c r="AH1" s="43"/>
      <c r="AI1" s="43"/>
      <c r="AJ1" s="43"/>
      <c r="AK1" s="35"/>
      <c r="AL1" s="35"/>
      <c r="AM1" s="35"/>
      <c r="AN1" s="35"/>
      <c r="AO1" s="35"/>
      <c r="AP1" s="36"/>
      <c r="AQ1" s="36"/>
      <c r="AR1" s="36"/>
      <c r="AS1" s="36"/>
      <c r="AT1" s="36"/>
      <c r="AU1" s="36"/>
      <c r="AV1" s="36"/>
      <c r="AW1" s="36"/>
      <c r="AX1" s="36"/>
      <c r="AY1" s="36"/>
      <c r="AZ1" s="36"/>
      <c r="BA1" s="36"/>
      <c r="BB1" s="36"/>
      <c r="BC1" s="36"/>
      <c r="BD1" s="36"/>
      <c r="BE1" s="36"/>
      <c r="BF1" s="36"/>
      <c r="BG1" s="36"/>
    </row>
    <row r="2" spans="2:59" s="24" customFormat="1" ht="30" x14ac:dyDescent="0.2">
      <c r="B2" s="7" t="s">
        <v>54</v>
      </c>
      <c r="C2" s="364"/>
      <c r="D2" s="365"/>
      <c r="E2" s="366"/>
      <c r="F2" s="367" t="s">
        <v>583</v>
      </c>
      <c r="G2" s="368" t="str">
        <f>IF(ISNUMBER(C4),U455,"")</f>
        <v/>
      </c>
      <c r="H2" s="369" t="s">
        <v>160</v>
      </c>
      <c r="J2" s="25"/>
      <c r="K2" s="26"/>
      <c r="L2" s="26"/>
      <c r="M2" s="26"/>
      <c r="N2" s="26"/>
      <c r="O2" s="26"/>
      <c r="Q2" s="135"/>
      <c r="R2" s="239"/>
      <c r="S2" s="240"/>
      <c r="T2" s="241"/>
      <c r="U2" s="208"/>
      <c r="V2" s="208"/>
      <c r="W2" s="208"/>
      <c r="X2" s="208"/>
      <c r="Y2" s="208"/>
      <c r="Z2" s="208"/>
      <c r="AA2" s="208"/>
      <c r="AB2" s="208"/>
      <c r="AC2" s="208"/>
      <c r="AD2" s="208"/>
      <c r="AE2" s="208"/>
      <c r="AF2" s="208"/>
      <c r="AG2" s="208"/>
      <c r="AH2" s="208"/>
      <c r="AI2" s="208"/>
      <c r="AJ2" s="208"/>
      <c r="AK2" s="28"/>
      <c r="AL2" s="28"/>
      <c r="AM2" s="28"/>
      <c r="AN2" s="28"/>
      <c r="AO2" s="28"/>
      <c r="AP2" s="29"/>
      <c r="AQ2" s="29"/>
      <c r="AR2" s="29"/>
      <c r="AS2" s="29"/>
      <c r="AT2" s="29"/>
      <c r="AU2" s="29"/>
      <c r="AV2" s="29"/>
      <c r="AW2" s="29"/>
      <c r="AX2" s="29"/>
      <c r="AY2" s="29"/>
      <c r="AZ2" s="29"/>
      <c r="BA2" s="29"/>
      <c r="BB2" s="29"/>
      <c r="BC2" s="29"/>
      <c r="BD2" s="29"/>
      <c r="BE2" s="29"/>
      <c r="BF2" s="29"/>
      <c r="BG2" s="29"/>
    </row>
    <row r="3" spans="2:59" s="30" customFormat="1" ht="15" x14ac:dyDescent="0.2">
      <c r="C3" s="33"/>
      <c r="G3" s="33"/>
      <c r="J3" s="32"/>
      <c r="K3" s="33"/>
      <c r="L3" s="33"/>
      <c r="M3" s="33"/>
      <c r="N3" s="33"/>
      <c r="O3" s="33"/>
      <c r="Q3" s="129"/>
      <c r="R3" s="237"/>
      <c r="S3" s="220"/>
      <c r="T3" s="170"/>
      <c r="U3" s="43"/>
      <c r="V3" s="43"/>
      <c r="W3" s="43"/>
      <c r="X3" s="43"/>
      <c r="Y3" s="43"/>
      <c r="Z3" s="43"/>
      <c r="AA3" s="43"/>
      <c r="AB3" s="43"/>
      <c r="AC3" s="43"/>
      <c r="AD3" s="43"/>
      <c r="AE3" s="43"/>
      <c r="AF3" s="43"/>
      <c r="AG3" s="43"/>
      <c r="AH3" s="43"/>
      <c r="AI3" s="43"/>
      <c r="AJ3" s="43"/>
      <c r="AK3" s="35"/>
      <c r="AL3" s="35"/>
      <c r="AM3" s="35"/>
      <c r="AN3" s="35"/>
      <c r="AO3" s="35"/>
      <c r="AP3" s="36"/>
      <c r="AQ3" s="36"/>
      <c r="AR3" s="36"/>
      <c r="AS3" s="36"/>
      <c r="AT3" s="36"/>
      <c r="AU3" s="36"/>
      <c r="AV3" s="36"/>
      <c r="AW3" s="36"/>
      <c r="AX3" s="36"/>
      <c r="AY3" s="36"/>
      <c r="AZ3" s="36"/>
      <c r="BA3" s="36"/>
      <c r="BB3" s="36"/>
      <c r="BC3" s="36"/>
      <c r="BD3" s="36"/>
      <c r="BE3" s="36"/>
      <c r="BF3" s="36"/>
      <c r="BG3" s="36"/>
    </row>
    <row r="4" spans="2:59" s="30" customFormat="1" ht="24.95" customHeight="1" x14ac:dyDescent="0.2">
      <c r="B4" s="79" t="s">
        <v>680</v>
      </c>
      <c r="C4" s="150"/>
      <c r="D4" s="81" t="str">
        <f>IF(ISBLANK(C4),"%","")</f>
        <v>%</v>
      </c>
      <c r="G4" s="171" t="str">
        <f>IF(ISNUMBER(C4),C4*'Kohdetiedot ja yhteenveto'!D12,"")</f>
        <v/>
      </c>
      <c r="H4" s="30" t="s">
        <v>163</v>
      </c>
      <c r="J4" s="32"/>
      <c r="K4" s="33"/>
      <c r="L4" s="33"/>
      <c r="M4" s="33"/>
      <c r="N4" s="33"/>
      <c r="O4" s="33"/>
      <c r="Q4" s="129"/>
      <c r="R4" s="237"/>
      <c r="S4" s="220"/>
      <c r="T4" s="170"/>
      <c r="U4" s="43"/>
      <c r="V4" s="43"/>
      <c r="W4" s="43"/>
      <c r="X4" s="43"/>
      <c r="Y4" s="43"/>
      <c r="Z4" s="43"/>
      <c r="AA4" s="43"/>
      <c r="AB4" s="43"/>
      <c r="AC4" s="43"/>
      <c r="AD4" s="43"/>
      <c r="AE4" s="43"/>
      <c r="AF4" s="43"/>
      <c r="AG4" s="43"/>
      <c r="AH4" s="43"/>
      <c r="AI4" s="43"/>
      <c r="AJ4" s="43"/>
      <c r="AK4" s="35"/>
      <c r="AL4" s="35"/>
      <c r="AM4" s="35"/>
      <c r="AN4" s="35"/>
      <c r="AO4" s="35"/>
      <c r="AP4" s="36"/>
      <c r="AQ4" s="36"/>
      <c r="AR4" s="36"/>
      <c r="AS4" s="36"/>
      <c r="AT4" s="36"/>
      <c r="AU4" s="36"/>
      <c r="AV4" s="36"/>
      <c r="AW4" s="36"/>
      <c r="AX4" s="36"/>
      <c r="AY4" s="36"/>
      <c r="AZ4" s="36"/>
      <c r="BA4" s="36"/>
      <c r="BB4" s="36"/>
      <c r="BC4" s="36"/>
      <c r="BD4" s="36"/>
      <c r="BE4" s="36"/>
      <c r="BF4" s="36"/>
      <c r="BG4" s="36"/>
    </row>
    <row r="5" spans="2:59" s="30" customFormat="1" ht="15" x14ac:dyDescent="0.2">
      <c r="C5" s="33"/>
      <c r="D5" s="81"/>
      <c r="G5" s="33"/>
      <c r="H5" s="81"/>
      <c r="J5" s="32"/>
      <c r="K5" s="33"/>
      <c r="L5" s="33"/>
      <c r="M5" s="81"/>
      <c r="N5" s="81"/>
      <c r="O5" s="81"/>
      <c r="Q5" s="34"/>
      <c r="R5" s="102"/>
      <c r="S5" s="43"/>
      <c r="T5" s="43"/>
      <c r="U5" s="43"/>
      <c r="V5" s="43"/>
      <c r="W5" s="43"/>
      <c r="X5" s="43"/>
      <c r="Y5" s="43"/>
      <c r="Z5" s="43"/>
      <c r="AA5" s="43"/>
      <c r="AB5" s="43"/>
      <c r="AC5" s="43"/>
      <c r="AD5" s="43"/>
      <c r="AE5" s="43"/>
      <c r="AF5" s="43"/>
      <c r="AG5" s="43"/>
      <c r="AH5" s="43"/>
      <c r="AI5" s="43"/>
      <c r="AJ5" s="43"/>
      <c r="AK5" s="35"/>
      <c r="AL5" s="35"/>
      <c r="AM5" s="35"/>
      <c r="AN5" s="36"/>
      <c r="AO5" s="36"/>
      <c r="AP5" s="36"/>
      <c r="AQ5" s="36"/>
      <c r="AR5" s="36"/>
      <c r="AS5" s="36"/>
      <c r="AT5" s="36"/>
      <c r="AU5" s="36"/>
      <c r="AV5" s="36"/>
      <c r="AW5" s="36"/>
      <c r="AX5" s="36"/>
      <c r="AY5" s="36"/>
      <c r="AZ5" s="36"/>
      <c r="BA5" s="36"/>
      <c r="BB5" s="36"/>
      <c r="BC5" s="36"/>
      <c r="BD5" s="36"/>
      <c r="BE5" s="36"/>
    </row>
    <row r="6" spans="2:59" s="192" customFormat="1" ht="23.25" x14ac:dyDescent="0.2">
      <c r="B6" s="193" t="s">
        <v>554</v>
      </c>
      <c r="C6" s="194"/>
      <c r="D6" s="195"/>
      <c r="G6" s="194"/>
      <c r="H6" s="195"/>
      <c r="J6" s="196"/>
      <c r="P6" s="197"/>
      <c r="Q6" s="198"/>
      <c r="R6" s="231"/>
      <c r="S6" s="242"/>
      <c r="T6" s="209"/>
      <c r="U6" s="210"/>
      <c r="V6" s="210"/>
      <c r="W6" s="210"/>
      <c r="X6" s="210"/>
      <c r="Y6" s="210"/>
      <c r="Z6" s="210"/>
      <c r="AA6" s="210"/>
      <c r="AB6" s="210"/>
      <c r="AC6" s="210"/>
      <c r="AD6" s="210"/>
      <c r="AE6" s="210"/>
      <c r="AF6" s="210"/>
      <c r="AG6" s="210"/>
      <c r="AH6" s="210"/>
      <c r="AI6" s="210"/>
      <c r="AJ6" s="210"/>
      <c r="AK6" s="201"/>
      <c r="AL6" s="201"/>
      <c r="AM6" s="201"/>
      <c r="AN6" s="201"/>
      <c r="AO6" s="201"/>
      <c r="AP6" s="200"/>
      <c r="AQ6" s="200"/>
      <c r="AR6" s="200"/>
      <c r="AS6" s="200"/>
      <c r="AT6" s="200"/>
      <c r="AU6" s="200"/>
      <c r="AV6" s="200"/>
      <c r="AW6" s="200"/>
      <c r="AX6" s="200"/>
      <c r="AY6" s="200"/>
      <c r="AZ6" s="200"/>
      <c r="BA6" s="200"/>
      <c r="BB6" s="200"/>
      <c r="BC6" s="200"/>
      <c r="BD6" s="200"/>
      <c r="BE6" s="200"/>
      <c r="BF6" s="200"/>
      <c r="BG6" s="200"/>
    </row>
    <row r="7" spans="2:59" s="30" customFormat="1" ht="15" x14ac:dyDescent="0.2">
      <c r="C7" s="33"/>
      <c r="D7" s="81"/>
      <c r="G7" s="33"/>
      <c r="H7" s="81"/>
      <c r="J7" s="32"/>
      <c r="K7" s="33"/>
      <c r="L7" s="33"/>
      <c r="M7" s="81"/>
      <c r="N7" s="81"/>
      <c r="O7" s="81"/>
      <c r="Q7" s="34"/>
      <c r="R7" s="102"/>
      <c r="S7" s="43"/>
      <c r="T7" s="43"/>
      <c r="U7" s="43"/>
      <c r="V7" s="43"/>
      <c r="W7" s="43"/>
      <c r="X7" s="43"/>
      <c r="Y7" s="43"/>
      <c r="Z7" s="43"/>
      <c r="AA7" s="43"/>
      <c r="AB7" s="43"/>
      <c r="AC7" s="43"/>
      <c r="AD7" s="43"/>
      <c r="AE7" s="43"/>
      <c r="AF7" s="43"/>
      <c r="AG7" s="43"/>
      <c r="AH7" s="43"/>
      <c r="AI7" s="43"/>
      <c r="AJ7" s="43"/>
      <c r="AK7" s="35"/>
      <c r="AL7" s="35"/>
      <c r="AM7" s="35"/>
      <c r="AN7" s="36"/>
      <c r="AO7" s="36"/>
      <c r="AP7" s="36"/>
      <c r="AQ7" s="36"/>
      <c r="AR7" s="36"/>
      <c r="AS7" s="36"/>
      <c r="AT7" s="36"/>
      <c r="AU7" s="36"/>
      <c r="AV7" s="36"/>
      <c r="AW7" s="36"/>
      <c r="AX7" s="36"/>
      <c r="AY7" s="36"/>
      <c r="AZ7" s="36"/>
      <c r="BA7" s="36"/>
      <c r="BB7" s="36"/>
      <c r="BC7" s="36"/>
      <c r="BD7" s="36"/>
      <c r="BE7" s="36"/>
    </row>
    <row r="8" spans="2:59" s="289" customFormat="1" ht="18" x14ac:dyDescent="0.2">
      <c r="B8" s="286" t="s">
        <v>437</v>
      </c>
      <c r="C8" s="287"/>
      <c r="D8" s="288"/>
      <c r="G8" s="287"/>
      <c r="H8" s="288"/>
      <c r="K8" s="287"/>
      <c r="L8" s="287"/>
      <c r="M8" s="288"/>
      <c r="N8" s="288"/>
      <c r="O8" s="291"/>
      <c r="P8" s="311"/>
      <c r="Q8" s="295"/>
      <c r="S8" s="294"/>
      <c r="T8" s="294"/>
      <c r="U8" s="294"/>
      <c r="V8" s="294"/>
      <c r="W8" s="294"/>
      <c r="X8" s="294"/>
      <c r="Y8" s="294"/>
      <c r="Z8" s="294"/>
      <c r="AA8" s="294"/>
      <c r="AB8" s="294"/>
      <c r="AC8" s="294"/>
      <c r="AD8" s="294"/>
      <c r="AE8" s="294"/>
      <c r="AF8" s="294"/>
      <c r="AG8" s="294"/>
      <c r="AH8" s="294"/>
      <c r="AI8" s="294"/>
      <c r="AJ8" s="294"/>
      <c r="AK8" s="294"/>
      <c r="AL8" s="294"/>
      <c r="AM8" s="294"/>
      <c r="AN8" s="295"/>
      <c r="AO8" s="295"/>
      <c r="AP8" s="295"/>
      <c r="AQ8" s="295"/>
      <c r="AR8" s="295"/>
      <c r="AS8" s="295"/>
      <c r="AT8" s="295"/>
      <c r="AU8" s="295"/>
      <c r="AV8" s="295"/>
      <c r="AW8" s="295"/>
      <c r="AX8" s="295"/>
      <c r="AY8" s="295"/>
      <c r="AZ8" s="295"/>
      <c r="BA8" s="295"/>
      <c r="BB8" s="295"/>
      <c r="BC8" s="295"/>
      <c r="BD8" s="295"/>
      <c r="BE8" s="295"/>
    </row>
    <row r="9" spans="2:59" s="30" customFormat="1" ht="15.75" x14ac:dyDescent="0.2">
      <c r="B9" s="8"/>
      <c r="C9" s="33"/>
      <c r="D9" s="81"/>
      <c r="G9" s="33"/>
      <c r="H9" s="81"/>
      <c r="K9" s="37"/>
      <c r="L9" s="37"/>
      <c r="M9" s="81"/>
      <c r="N9" s="81"/>
      <c r="O9" s="249" t="s">
        <v>584</v>
      </c>
      <c r="Q9" s="34"/>
      <c r="R9" s="43" t="s">
        <v>318</v>
      </c>
      <c r="S9" s="43"/>
      <c r="T9" s="43"/>
      <c r="U9" s="43"/>
      <c r="V9" s="43"/>
      <c r="W9" s="43"/>
      <c r="X9" s="43"/>
      <c r="Y9" s="43"/>
      <c r="Z9" s="43"/>
      <c r="AA9" s="43"/>
      <c r="AB9" s="43"/>
      <c r="AC9" s="43"/>
      <c r="AD9" s="43"/>
      <c r="AE9" s="43"/>
      <c r="AF9" s="43"/>
      <c r="AG9" s="43"/>
      <c r="AH9" s="43"/>
      <c r="AI9" s="43"/>
      <c r="AJ9" s="43"/>
      <c r="AK9" s="35"/>
      <c r="AL9" s="35"/>
      <c r="AM9" s="35"/>
      <c r="AN9" s="36"/>
      <c r="AO9" s="36"/>
      <c r="AP9" s="36"/>
      <c r="AQ9" s="36"/>
      <c r="AR9" s="36"/>
      <c r="AS9" s="36"/>
      <c r="AT9" s="36"/>
      <c r="AU9" s="36"/>
      <c r="AV9" s="36"/>
      <c r="AW9" s="36"/>
      <c r="AX9" s="36"/>
      <c r="AY9" s="36"/>
      <c r="AZ9" s="36"/>
      <c r="BA9" s="36"/>
      <c r="BB9" s="36"/>
      <c r="BC9" s="36"/>
      <c r="BD9" s="36"/>
      <c r="BE9" s="36"/>
    </row>
    <row r="10" spans="2:59" s="30" customFormat="1" ht="15" x14ac:dyDescent="0.2">
      <c r="B10" s="168" t="s">
        <v>392</v>
      </c>
      <c r="C10" s="33"/>
      <c r="D10" s="81"/>
      <c r="G10" s="33"/>
      <c r="H10" s="81"/>
      <c r="K10" s="37" t="s">
        <v>297</v>
      </c>
      <c r="L10" s="37" t="s">
        <v>185</v>
      </c>
      <c r="M10" s="81"/>
      <c r="N10" s="81"/>
      <c r="O10" s="250"/>
      <c r="Q10" s="34"/>
      <c r="R10" s="43" t="s">
        <v>160</v>
      </c>
      <c r="S10" s="43"/>
      <c r="T10" s="43" t="s">
        <v>400</v>
      </c>
      <c r="U10" s="43" t="s">
        <v>399</v>
      </c>
      <c r="V10" s="43" t="s">
        <v>397</v>
      </c>
      <c r="W10" s="43" t="s">
        <v>398</v>
      </c>
      <c r="X10" s="43" t="s">
        <v>401</v>
      </c>
      <c r="Y10" s="43" t="s">
        <v>403</v>
      </c>
      <c r="Z10" s="43" t="s">
        <v>402</v>
      </c>
      <c r="AA10" s="43" t="s">
        <v>186</v>
      </c>
      <c r="AB10" s="43" t="s">
        <v>345</v>
      </c>
      <c r="AC10" s="43" t="s">
        <v>404</v>
      </c>
      <c r="AD10" s="43" t="s">
        <v>346</v>
      </c>
      <c r="AE10" s="43" t="s">
        <v>405</v>
      </c>
      <c r="AF10" s="43" t="s">
        <v>406</v>
      </c>
      <c r="AG10" s="43" t="s">
        <v>578</v>
      </c>
      <c r="AH10" s="43" t="s">
        <v>190</v>
      </c>
      <c r="AI10" s="43" t="s">
        <v>249</v>
      </c>
      <c r="AJ10" s="43" t="s">
        <v>191</v>
      </c>
      <c r="AK10" s="104"/>
      <c r="AL10" s="35"/>
      <c r="AM10" s="35"/>
      <c r="AN10" s="36"/>
      <c r="AO10" s="36"/>
      <c r="AP10" s="36"/>
      <c r="AQ10" s="36"/>
      <c r="AR10" s="36"/>
      <c r="AS10" s="36"/>
      <c r="AT10" s="36"/>
      <c r="AU10" s="36"/>
      <c r="AV10" s="36"/>
      <c r="AW10" s="36"/>
      <c r="AX10" s="36"/>
      <c r="AY10" s="36"/>
      <c r="AZ10" s="36"/>
      <c r="BA10" s="36"/>
      <c r="BB10" s="36"/>
      <c r="BC10" s="36"/>
      <c r="BD10" s="36"/>
      <c r="BE10" s="36"/>
    </row>
    <row r="11" spans="2:59" s="30" customFormat="1" ht="30" x14ac:dyDescent="0.2">
      <c r="B11" s="166" t="s">
        <v>455</v>
      </c>
      <c r="C11" s="471" t="s">
        <v>298</v>
      </c>
      <c r="D11" s="472"/>
      <c r="E11" s="472"/>
      <c r="F11" s="472"/>
      <c r="G11" s="473"/>
      <c r="H11" s="165"/>
      <c r="J11" s="169" t="s">
        <v>395</v>
      </c>
      <c r="K11" s="92" t="str">
        <f>IFERROR(IF(ISNUMBER(L11),L11,(VLOOKUP(C11,Kalusto!$C$45:$L$84,5,FALSE)*(VLOOKUP(C12,Muut!$D$40:$E$43,2,FALSE)))),"--")</f>
        <v>--</v>
      </c>
      <c r="L11" s="39"/>
      <c r="M11" s="40" t="s">
        <v>184</v>
      </c>
      <c r="N11" s="40"/>
      <c r="O11" s="259"/>
      <c r="Q11" s="45"/>
      <c r="R11" s="213" t="str">
        <f>IF(AND(NOT(ISNUMBER(AB11)),NOT(ISNUMBER(AG11))),"",IF(ISNUMBER(AB11),AB11,0)+IF(ISNUMBER(AG11),AG11,0))</f>
        <v/>
      </c>
      <c r="S11" s="226" t="s">
        <v>438</v>
      </c>
      <c r="T11" s="211" t="str">
        <f>IFERROR(IF(ISNUMBER(L11),"Kohdetieto",VLOOKUP(C11,Kalusto!$C$45:$L$84,7,FALSE)),"--")</f>
        <v>--</v>
      </c>
      <c r="U11" s="211" t="str">
        <f>IFERROR(IF(ISNUMBER(L11),"Kohdetieto",VLOOKUP(C11,Kalusto!$C$45:$L$84,8,FALSE)),"--")</f>
        <v>--</v>
      </c>
      <c r="V11" s="212" t="str">
        <f>IFERROR(IF(ISNUMBER(L11),"Kohdetieto",VLOOKUP(C11,Kalusto!$C$45:$L$84,9,FALSE)),"--")</f>
        <v>--</v>
      </c>
      <c r="W11" s="212" t="str">
        <f>IFERROR(IF(ISNUMBER(L11),"Kohdetieto",VLOOKUP(C11,Kalusto!$C$45:$L$84,10,FALSE)),"--")</f>
        <v>--</v>
      </c>
      <c r="X11" s="213" t="str">
        <f>IF(ISBLANK(C13),"",C13)</f>
        <v/>
      </c>
      <c r="Y11" s="211" t="str">
        <f>IF(ISNUMBER(C14),C14,"")</f>
        <v/>
      </c>
      <c r="Z11" s="213" t="str">
        <f>IF(ISNUMBER(X11/(U11*V11)*Y11),X11/(U11*V11)*Y11,"")</f>
        <v/>
      </c>
      <c r="AA11" s="214" t="str">
        <f>IF(ISNUMBER(L11),L11,K11)</f>
        <v>--</v>
      </c>
      <c r="AB11" s="213" t="str">
        <f>IF(ISNUMBER(Y11*X11*K11),Y11*X11*K11,"")</f>
        <v/>
      </c>
      <c r="AC11" s="213" t="str">
        <f>IF(C$26="Kyllä",Y11,"")</f>
        <v/>
      </c>
      <c r="AD11" s="213" t="str">
        <f>IF(C$26="Kyllä",IF(ISNUMBER(X11/(U11*V11)),CEILING(X11/(U11*V11),1),""),"")</f>
        <v/>
      </c>
      <c r="AE11" s="213" t="str">
        <f>IF(ISNUMBER(AD11*AC11),AD11*AC11,"")</f>
        <v/>
      </c>
      <c r="AF11" s="214" t="str">
        <f>IF(ISNUMBER(L13),L13,K13)</f>
        <v>--</v>
      </c>
      <c r="AG11" s="213" t="str">
        <f>IF(ISNUMBER(AC11*AD11*K13),AC11*AD11*K13,"")</f>
        <v/>
      </c>
      <c r="AH11" s="211">
        <f>IF(T11="Jakelukuorma-auto",0,IF(T11="Maansiirtoauto",4,IF(T11="Puoliperävaunu",6,8)))</f>
        <v>8</v>
      </c>
      <c r="AI11" s="211">
        <f>IF(AND(T11="Jakelukuorma-auto",U11=6),0,IF(AND(T11="Jakelukuorma-auto",U11=15),2,0))</f>
        <v>0</v>
      </c>
      <c r="AJ11" s="211">
        <f>IF(W11="maantieajo",0,1)</f>
        <v>1</v>
      </c>
      <c r="AK11" s="104"/>
      <c r="AL11" s="35"/>
      <c r="AM11" s="35"/>
      <c r="AN11" s="36"/>
      <c r="AO11" s="36"/>
      <c r="AP11" s="36"/>
      <c r="AQ11" s="36"/>
      <c r="AR11" s="36"/>
      <c r="AS11" s="36"/>
      <c r="AT11" s="36"/>
      <c r="AU11" s="36"/>
      <c r="AV11" s="36"/>
      <c r="AW11" s="36"/>
      <c r="AX11" s="36"/>
      <c r="AY11" s="36"/>
      <c r="AZ11" s="36"/>
      <c r="BA11" s="36"/>
      <c r="BB11" s="36"/>
      <c r="BC11" s="36"/>
      <c r="BD11" s="36"/>
      <c r="BE11" s="36"/>
    </row>
    <row r="12" spans="2:59" s="30" customFormat="1" ht="15" x14ac:dyDescent="0.2">
      <c r="B12" s="182" t="s">
        <v>457</v>
      </c>
      <c r="C12" s="156" t="s">
        <v>309</v>
      </c>
      <c r="D12" s="33"/>
      <c r="E12" s="33"/>
      <c r="F12" s="33"/>
      <c r="G12" s="33"/>
      <c r="H12" s="57"/>
      <c r="J12" s="169"/>
      <c r="K12" s="169"/>
      <c r="L12" s="169"/>
      <c r="M12" s="40"/>
      <c r="N12" s="40"/>
      <c r="O12" s="259"/>
      <c r="Q12" s="45"/>
      <c r="R12" s="43"/>
      <c r="S12" s="43"/>
      <c r="T12" s="43"/>
      <c r="U12" s="43"/>
      <c r="V12" s="215"/>
      <c r="W12" s="215"/>
      <c r="X12" s="216"/>
      <c r="Y12" s="43"/>
      <c r="Z12" s="216"/>
      <c r="AA12" s="217"/>
      <c r="AB12" s="216"/>
      <c r="AC12" s="216"/>
      <c r="AD12" s="216"/>
      <c r="AE12" s="216"/>
      <c r="AF12" s="217"/>
      <c r="AG12" s="216"/>
      <c r="AH12" s="43"/>
      <c r="AI12" s="43"/>
      <c r="AJ12" s="43"/>
      <c r="AK12" s="104"/>
      <c r="AL12" s="35"/>
      <c r="AM12" s="35"/>
      <c r="AN12" s="36"/>
      <c r="AO12" s="36"/>
      <c r="AP12" s="36"/>
      <c r="AQ12" s="36"/>
      <c r="AR12" s="36"/>
      <c r="AS12" s="36"/>
      <c r="AT12" s="36"/>
      <c r="AU12" s="36"/>
      <c r="AV12" s="36"/>
      <c r="AW12" s="36"/>
      <c r="AX12" s="36"/>
      <c r="AY12" s="36"/>
      <c r="AZ12" s="36"/>
      <c r="BA12" s="36"/>
      <c r="BB12" s="36"/>
      <c r="BC12" s="36"/>
      <c r="BD12" s="36"/>
      <c r="BE12" s="36"/>
    </row>
    <row r="13" spans="2:59" s="30" customFormat="1" ht="15" x14ac:dyDescent="0.2">
      <c r="B13" s="44" t="s">
        <v>521</v>
      </c>
      <c r="C13" s="152"/>
      <c r="D13" s="81" t="s">
        <v>52</v>
      </c>
      <c r="G13" s="33"/>
      <c r="H13" s="81"/>
      <c r="J13" s="32" t="s">
        <v>396</v>
      </c>
      <c r="K13" s="92" t="str">
        <f>IFERROR(IF(ISNUMBER(L13),L13,IF($C$26="Ei","",(VLOOKUP(C11,Kalusto!$C$45:$V$84,19,FALSE)*(VLOOKUP(C12,Muut!$D$40:$E$43,2,FALSE))))),"--")</f>
        <v>--</v>
      </c>
      <c r="L13" s="39"/>
      <c r="M13" s="40" t="s">
        <v>188</v>
      </c>
      <c r="N13" s="40"/>
      <c r="O13" s="259"/>
      <c r="P13" s="33"/>
      <c r="Q13" s="50"/>
      <c r="R13" s="213" t="str">
        <f>IF(ISNUMBER(R11),R11,"")</f>
        <v/>
      </c>
      <c r="S13" s="226" t="s">
        <v>439</v>
      </c>
      <c r="T13" s="43"/>
      <c r="U13" s="43"/>
      <c r="V13" s="43"/>
      <c r="W13" s="43"/>
      <c r="X13" s="43"/>
      <c r="Y13" s="43"/>
      <c r="Z13" s="43"/>
      <c r="AA13" s="43"/>
      <c r="AB13" s="43"/>
      <c r="AC13" s="43"/>
      <c r="AD13" s="43"/>
      <c r="AE13" s="43"/>
      <c r="AF13" s="43"/>
      <c r="AG13" s="43"/>
      <c r="AH13" s="43"/>
      <c r="AI13" s="43"/>
      <c r="AJ13" s="43"/>
      <c r="AK13" s="104"/>
      <c r="AL13" s="35"/>
      <c r="AM13" s="35"/>
      <c r="AN13" s="36"/>
      <c r="AO13" s="36"/>
      <c r="AP13" s="36"/>
      <c r="AQ13" s="36"/>
      <c r="AR13" s="36"/>
      <c r="AS13" s="36"/>
      <c r="AT13" s="36"/>
      <c r="AU13" s="36"/>
      <c r="AV13" s="36"/>
      <c r="AW13" s="36"/>
      <c r="AX13" s="36"/>
      <c r="AY13" s="36"/>
      <c r="AZ13" s="36"/>
      <c r="BA13" s="36"/>
      <c r="BB13" s="36"/>
      <c r="BC13" s="36"/>
      <c r="BD13" s="36"/>
      <c r="BE13" s="36"/>
    </row>
    <row r="14" spans="2:59" s="30" customFormat="1" ht="15" x14ac:dyDescent="0.2">
      <c r="B14" s="44" t="s">
        <v>522</v>
      </c>
      <c r="C14" s="152"/>
      <c r="D14" s="81" t="s">
        <v>5</v>
      </c>
      <c r="G14" s="33"/>
      <c r="H14" s="81"/>
      <c r="I14" s="51"/>
      <c r="J14" s="51"/>
      <c r="K14" s="33"/>
      <c r="L14" s="33"/>
      <c r="M14" s="81"/>
      <c r="N14" s="81"/>
      <c r="O14" s="96"/>
      <c r="P14" s="51"/>
      <c r="Q14" s="50"/>
      <c r="R14" s="43" t="s">
        <v>318</v>
      </c>
      <c r="S14" s="170"/>
      <c r="T14" s="43"/>
      <c r="U14" s="43"/>
      <c r="V14" s="43"/>
      <c r="W14" s="43"/>
      <c r="X14" s="43"/>
      <c r="Y14" s="43"/>
      <c r="Z14" s="43"/>
      <c r="AA14" s="43"/>
      <c r="AB14" s="43"/>
      <c r="AC14" s="43"/>
      <c r="AD14" s="43"/>
      <c r="AE14" s="43"/>
      <c r="AF14" s="43"/>
      <c r="AG14" s="43"/>
      <c r="AH14" s="43"/>
      <c r="AI14" s="43"/>
      <c r="AJ14" s="43"/>
      <c r="AK14" s="104"/>
      <c r="AL14" s="35"/>
      <c r="AM14" s="35"/>
      <c r="AN14" s="36"/>
      <c r="AO14" s="36"/>
      <c r="AP14" s="36"/>
      <c r="AQ14" s="36"/>
      <c r="AR14" s="36"/>
      <c r="AS14" s="36"/>
      <c r="AT14" s="36"/>
      <c r="AU14" s="36"/>
      <c r="AV14" s="36"/>
      <c r="AW14" s="36"/>
      <c r="AX14" s="36"/>
      <c r="AY14" s="36"/>
      <c r="AZ14" s="36"/>
      <c r="BA14" s="36"/>
      <c r="BB14" s="36"/>
      <c r="BC14" s="36"/>
      <c r="BD14" s="36"/>
      <c r="BE14" s="36"/>
    </row>
    <row r="15" spans="2:59" s="30" customFormat="1" ht="15" x14ac:dyDescent="0.2">
      <c r="B15" s="168" t="s">
        <v>393</v>
      </c>
      <c r="C15" s="33"/>
      <c r="D15" s="81"/>
      <c r="G15" s="33"/>
      <c r="H15" s="81"/>
      <c r="J15" s="32"/>
      <c r="K15" s="37" t="s">
        <v>297</v>
      </c>
      <c r="L15" s="37" t="s">
        <v>185</v>
      </c>
      <c r="M15" s="81"/>
      <c r="N15" s="81"/>
      <c r="O15" s="96"/>
      <c r="P15" s="33"/>
      <c r="Q15" s="34"/>
      <c r="R15" s="43" t="s">
        <v>160</v>
      </c>
      <c r="S15" s="43"/>
      <c r="T15" s="43" t="s">
        <v>400</v>
      </c>
      <c r="U15" s="43" t="s">
        <v>399</v>
      </c>
      <c r="V15" s="43" t="s">
        <v>397</v>
      </c>
      <c r="W15" s="43" t="s">
        <v>398</v>
      </c>
      <c r="X15" s="43" t="s">
        <v>401</v>
      </c>
      <c r="Y15" s="43" t="s">
        <v>403</v>
      </c>
      <c r="Z15" s="43" t="s">
        <v>402</v>
      </c>
      <c r="AA15" s="43" t="s">
        <v>186</v>
      </c>
      <c r="AB15" s="43" t="s">
        <v>345</v>
      </c>
      <c r="AC15" s="43" t="s">
        <v>404</v>
      </c>
      <c r="AD15" s="43" t="s">
        <v>346</v>
      </c>
      <c r="AE15" s="43" t="s">
        <v>405</v>
      </c>
      <c r="AF15" s="43" t="s">
        <v>406</v>
      </c>
      <c r="AG15" s="43" t="s">
        <v>578</v>
      </c>
      <c r="AH15" s="43" t="s">
        <v>190</v>
      </c>
      <c r="AI15" s="43" t="s">
        <v>249</v>
      </c>
      <c r="AJ15" s="43" t="s">
        <v>191</v>
      </c>
      <c r="AK15" s="104"/>
      <c r="AL15" s="35"/>
      <c r="AM15" s="35"/>
      <c r="AN15" s="36"/>
      <c r="AO15" s="36"/>
      <c r="AP15" s="36"/>
      <c r="AQ15" s="36"/>
      <c r="AR15" s="36"/>
      <c r="AS15" s="36"/>
      <c r="AT15" s="36"/>
      <c r="AU15" s="36"/>
      <c r="AV15" s="36"/>
      <c r="AW15" s="36"/>
      <c r="AX15" s="36"/>
      <c r="AY15" s="36"/>
      <c r="AZ15" s="36"/>
      <c r="BA15" s="36"/>
      <c r="BB15" s="36"/>
      <c r="BC15" s="36"/>
      <c r="BD15" s="36"/>
      <c r="BE15" s="36"/>
    </row>
    <row r="16" spans="2:59" s="30" customFormat="1" ht="30" x14ac:dyDescent="0.2">
      <c r="B16" s="166" t="s">
        <v>455</v>
      </c>
      <c r="C16" s="471" t="s">
        <v>298</v>
      </c>
      <c r="D16" s="472"/>
      <c r="E16" s="472"/>
      <c r="F16" s="472"/>
      <c r="G16" s="473"/>
      <c r="H16" s="165"/>
      <c r="J16" s="169" t="s">
        <v>395</v>
      </c>
      <c r="K16" s="92" t="str">
        <f>IFERROR(IF(ISNUMBER(L16),L16,(VLOOKUP(C16,Kalusto!$C$45:$L$84,5,FALSE)*(VLOOKUP(C17,Muut!$D$40:$E$43,2,FALSE)))),"--")</f>
        <v>--</v>
      </c>
      <c r="L16" s="39"/>
      <c r="M16" s="40" t="s">
        <v>184</v>
      </c>
      <c r="N16" s="40"/>
      <c r="O16" s="259"/>
      <c r="Q16" s="45"/>
      <c r="R16" s="213" t="str">
        <f>IF(AND(NOT(ISNUMBER(AB16)),NOT(ISNUMBER(AG16))),"",IF(ISNUMBER(AB16),AB16,0)+IF(ISNUMBER(AG16),AG16,0))</f>
        <v/>
      </c>
      <c r="S16" s="226" t="s">
        <v>438</v>
      </c>
      <c r="T16" s="211" t="str">
        <f>IFERROR(IF(ISNUMBER(L16),"Kohdetieto",VLOOKUP(C16,Kalusto!$C$45:$L$84,7,FALSE)),"--")</f>
        <v>--</v>
      </c>
      <c r="U16" s="211" t="str">
        <f>IFERROR(IF(ISNUMBER(L16),"Kohdetieto",VLOOKUP(C16,Kalusto!$C$45:$L$84,8,FALSE)),"--")</f>
        <v>--</v>
      </c>
      <c r="V16" s="212" t="str">
        <f>IFERROR(IF(ISNUMBER(L16),"Kohdetieto",VLOOKUP(C16,Kalusto!$C$45:$L$84,9,FALSE)),"--")</f>
        <v>--</v>
      </c>
      <c r="W16" s="212" t="str">
        <f>IFERROR(IF(ISNUMBER(L16),"Kohdetieto",VLOOKUP(C16,Kalusto!$C$45:$L$84,10,FALSE)),"--")</f>
        <v>--</v>
      </c>
      <c r="X16" s="213" t="str">
        <f>IF(ISBLANK(C18),"",C18)</f>
        <v/>
      </c>
      <c r="Y16" s="211" t="str">
        <f>IF(ISNUMBER(C19),C19,"")</f>
        <v/>
      </c>
      <c r="Z16" s="213" t="str">
        <f>IF(ISNUMBER(X16/(U16*V16)*Y16),X16/(U16*V16)*Y16,"")</f>
        <v/>
      </c>
      <c r="AA16" s="214" t="str">
        <f>IF(ISNUMBER(L16),L16,K16)</f>
        <v>--</v>
      </c>
      <c r="AB16" s="213" t="str">
        <f>IF(ISNUMBER(Y16*X16*K16),Y16*X16*K16,"")</f>
        <v/>
      </c>
      <c r="AC16" s="213" t="str">
        <f>IF(C$26="Kyllä",Y16,"")</f>
        <v/>
      </c>
      <c r="AD16" s="213" t="str">
        <f>IF(C$26="Kyllä",IF(ISNUMBER(X16/(U16*V16)),CEILING(X16/(U16*V16),1),""),"")</f>
        <v/>
      </c>
      <c r="AE16" s="213" t="str">
        <f>IF(ISNUMBER(AD16*AC16),AD16*AC16,"")</f>
        <v/>
      </c>
      <c r="AF16" s="214" t="str">
        <f>IF(ISNUMBER(L18),L18,K18)</f>
        <v>--</v>
      </c>
      <c r="AG16" s="213" t="str">
        <f>IF(ISNUMBER(AC16*AD16*K18),AC16*AD16*K18,"")</f>
        <v/>
      </c>
      <c r="AH16" s="211">
        <f>IF(T16="Jakelukuorma-auto",0,IF(T16="Maansiirtoauto",4,IF(T16="Puoliperävaunu",6,8)))</f>
        <v>8</v>
      </c>
      <c r="AI16" s="211">
        <f>IF(AND(T16="Jakelukuorma-auto",U16=6),0,IF(AND(T16="Jakelukuorma-auto",U16=15),2,0))</f>
        <v>0</v>
      </c>
      <c r="AJ16" s="211">
        <f>IF(W16="maantieajo",0,1)</f>
        <v>1</v>
      </c>
      <c r="AK16" s="104"/>
      <c r="AL16" s="35"/>
      <c r="AM16" s="35"/>
      <c r="AN16" s="36"/>
      <c r="AO16" s="36"/>
      <c r="AP16" s="36"/>
      <c r="AQ16" s="36"/>
      <c r="AR16" s="36"/>
      <c r="AS16" s="36"/>
      <c r="AT16" s="36"/>
      <c r="AU16" s="36"/>
      <c r="AV16" s="36"/>
      <c r="AW16" s="36"/>
      <c r="AX16" s="36"/>
      <c r="AY16" s="36"/>
      <c r="AZ16" s="36"/>
      <c r="BA16" s="36"/>
      <c r="BB16" s="36"/>
      <c r="BC16" s="36"/>
      <c r="BD16" s="36"/>
      <c r="BE16" s="36"/>
    </row>
    <row r="17" spans="2:57" s="30" customFormat="1" ht="15" x14ac:dyDescent="0.2">
      <c r="B17" s="182" t="s">
        <v>457</v>
      </c>
      <c r="C17" s="156" t="s">
        <v>309</v>
      </c>
      <c r="D17" s="33"/>
      <c r="E17" s="33"/>
      <c r="F17" s="33"/>
      <c r="G17" s="33"/>
      <c r="H17" s="57"/>
      <c r="J17" s="169"/>
      <c r="K17" s="169"/>
      <c r="L17" s="169"/>
      <c r="M17" s="40"/>
      <c r="N17" s="40"/>
      <c r="O17" s="259"/>
      <c r="Q17" s="45"/>
      <c r="R17" s="43"/>
      <c r="S17" s="43"/>
      <c r="T17" s="43"/>
      <c r="U17" s="43"/>
      <c r="V17" s="215"/>
      <c r="W17" s="215"/>
      <c r="X17" s="216"/>
      <c r="Y17" s="43"/>
      <c r="Z17" s="216"/>
      <c r="AA17" s="217"/>
      <c r="AB17" s="216"/>
      <c r="AC17" s="216"/>
      <c r="AD17" s="216"/>
      <c r="AE17" s="216"/>
      <c r="AF17" s="217"/>
      <c r="AG17" s="216"/>
      <c r="AH17" s="43"/>
      <c r="AI17" s="43"/>
      <c r="AJ17" s="43"/>
      <c r="AK17" s="104"/>
      <c r="AL17" s="35"/>
      <c r="AM17" s="35"/>
      <c r="AN17" s="36"/>
      <c r="AO17" s="36"/>
      <c r="AP17" s="36"/>
      <c r="AQ17" s="36"/>
      <c r="AR17" s="36"/>
      <c r="AS17" s="36"/>
      <c r="AT17" s="36"/>
      <c r="AU17" s="36"/>
      <c r="AV17" s="36"/>
      <c r="AW17" s="36"/>
      <c r="AX17" s="36"/>
      <c r="AY17" s="36"/>
      <c r="AZ17" s="36"/>
      <c r="BA17" s="36"/>
      <c r="BB17" s="36"/>
      <c r="BC17" s="36"/>
      <c r="BD17" s="36"/>
      <c r="BE17" s="36"/>
    </row>
    <row r="18" spans="2:57" s="30" customFormat="1" ht="15" x14ac:dyDescent="0.2">
      <c r="B18" s="44" t="s">
        <v>521</v>
      </c>
      <c r="C18" s="152"/>
      <c r="D18" s="81" t="s">
        <v>52</v>
      </c>
      <c r="G18" s="33"/>
      <c r="H18" s="81"/>
      <c r="J18" s="32" t="s">
        <v>396</v>
      </c>
      <c r="K18" s="92" t="str">
        <f>IFERROR(IF(ISNUMBER(L18),L18,IF($C$26="Ei","",(VLOOKUP(C16,Kalusto!$C$45:$V$84,19,FALSE)*(VLOOKUP(C17,Muut!$D$40:$E$43,2,FALSE))))),"--")</f>
        <v>--</v>
      </c>
      <c r="L18" s="39"/>
      <c r="M18" s="40" t="s">
        <v>188</v>
      </c>
      <c r="N18" s="40"/>
      <c r="O18" s="259"/>
      <c r="P18" s="33"/>
      <c r="Q18" s="50"/>
      <c r="R18" s="213" t="str">
        <f>IF(ISNUMBER(R16),R16,"")</f>
        <v/>
      </c>
      <c r="S18" s="226" t="s">
        <v>439</v>
      </c>
      <c r="T18" s="43"/>
      <c r="U18" s="43"/>
      <c r="V18" s="43"/>
      <c r="W18" s="43"/>
      <c r="X18" s="43"/>
      <c r="Y18" s="43"/>
      <c r="Z18" s="43"/>
      <c r="AA18" s="43"/>
      <c r="AB18" s="43"/>
      <c r="AC18" s="43"/>
      <c r="AD18" s="43"/>
      <c r="AE18" s="43"/>
      <c r="AF18" s="43"/>
      <c r="AG18" s="43"/>
      <c r="AH18" s="43"/>
      <c r="AI18" s="43"/>
      <c r="AJ18" s="43"/>
      <c r="AK18" s="104"/>
      <c r="AL18" s="35"/>
      <c r="AM18" s="35"/>
      <c r="AN18" s="36"/>
      <c r="AO18" s="36"/>
      <c r="AP18" s="36"/>
      <c r="AQ18" s="36"/>
      <c r="AR18" s="36"/>
      <c r="AS18" s="36"/>
      <c r="AT18" s="36"/>
      <c r="AU18" s="36"/>
      <c r="AV18" s="36"/>
      <c r="AW18" s="36"/>
      <c r="AX18" s="36"/>
      <c r="AY18" s="36"/>
      <c r="AZ18" s="36"/>
      <c r="BA18" s="36"/>
      <c r="BB18" s="36"/>
      <c r="BC18" s="36"/>
      <c r="BD18" s="36"/>
      <c r="BE18" s="36"/>
    </row>
    <row r="19" spans="2:57" s="30" customFormat="1" ht="15" x14ac:dyDescent="0.2">
      <c r="B19" s="44" t="s">
        <v>522</v>
      </c>
      <c r="C19" s="386"/>
      <c r="D19" s="81" t="s">
        <v>5</v>
      </c>
      <c r="G19" s="33"/>
      <c r="H19" s="81"/>
      <c r="I19" s="51"/>
      <c r="J19" s="51"/>
      <c r="K19" s="33"/>
      <c r="L19" s="33"/>
      <c r="M19" s="81"/>
      <c r="N19" s="81"/>
      <c r="O19" s="96"/>
      <c r="P19" s="51"/>
      <c r="Q19" s="50"/>
      <c r="R19" s="43" t="s">
        <v>318</v>
      </c>
      <c r="S19" s="43"/>
      <c r="T19" s="43"/>
      <c r="U19" s="43"/>
      <c r="V19" s="43"/>
      <c r="W19" s="43"/>
      <c r="X19" s="43"/>
      <c r="Y19" s="43"/>
      <c r="Z19" s="43"/>
      <c r="AA19" s="43"/>
      <c r="AB19" s="43"/>
      <c r="AC19" s="43"/>
      <c r="AD19" s="43"/>
      <c r="AE19" s="43"/>
      <c r="AF19" s="43"/>
      <c r="AG19" s="43"/>
      <c r="AH19" s="43"/>
      <c r="AI19" s="43"/>
      <c r="AJ19" s="43"/>
      <c r="AK19" s="104"/>
      <c r="AL19" s="35"/>
      <c r="AM19" s="35"/>
      <c r="AN19" s="36"/>
      <c r="AO19" s="36"/>
      <c r="AP19" s="36"/>
      <c r="AQ19" s="36"/>
      <c r="AR19" s="36"/>
      <c r="AS19" s="36"/>
      <c r="AT19" s="36"/>
      <c r="AU19" s="36"/>
      <c r="AV19" s="36"/>
      <c r="AW19" s="36"/>
      <c r="AX19" s="36"/>
      <c r="AY19" s="36"/>
      <c r="AZ19" s="36"/>
      <c r="BA19" s="36"/>
      <c r="BB19" s="36"/>
      <c r="BC19" s="36"/>
      <c r="BD19" s="36"/>
      <c r="BE19" s="36"/>
    </row>
    <row r="20" spans="2:57" s="30" customFormat="1" ht="15" x14ac:dyDescent="0.2">
      <c r="B20" s="168" t="s">
        <v>394</v>
      </c>
      <c r="C20" s="33"/>
      <c r="D20" s="81"/>
      <c r="G20" s="33"/>
      <c r="H20" s="81"/>
      <c r="J20" s="32"/>
      <c r="K20" s="37" t="s">
        <v>297</v>
      </c>
      <c r="L20" s="37" t="s">
        <v>185</v>
      </c>
      <c r="M20" s="81"/>
      <c r="N20" s="81"/>
      <c r="O20" s="96"/>
      <c r="P20" s="33"/>
      <c r="Q20" s="34"/>
      <c r="R20" s="43" t="s">
        <v>160</v>
      </c>
      <c r="S20" s="43"/>
      <c r="T20" s="43" t="s">
        <v>400</v>
      </c>
      <c r="U20" s="43" t="s">
        <v>399</v>
      </c>
      <c r="V20" s="43" t="s">
        <v>397</v>
      </c>
      <c r="W20" s="43" t="s">
        <v>398</v>
      </c>
      <c r="X20" s="43" t="s">
        <v>401</v>
      </c>
      <c r="Y20" s="43" t="s">
        <v>403</v>
      </c>
      <c r="Z20" s="43" t="s">
        <v>402</v>
      </c>
      <c r="AA20" s="43" t="s">
        <v>186</v>
      </c>
      <c r="AB20" s="43" t="s">
        <v>345</v>
      </c>
      <c r="AC20" s="43" t="s">
        <v>404</v>
      </c>
      <c r="AD20" s="43" t="s">
        <v>346</v>
      </c>
      <c r="AE20" s="43" t="s">
        <v>405</v>
      </c>
      <c r="AF20" s="43" t="s">
        <v>406</v>
      </c>
      <c r="AG20" s="43" t="s">
        <v>578</v>
      </c>
      <c r="AH20" s="43" t="s">
        <v>190</v>
      </c>
      <c r="AI20" s="43" t="s">
        <v>249</v>
      </c>
      <c r="AJ20" s="43" t="s">
        <v>191</v>
      </c>
      <c r="AK20" s="104"/>
      <c r="AL20" s="35"/>
      <c r="AM20" s="35"/>
      <c r="AN20" s="36"/>
      <c r="AO20" s="36"/>
      <c r="AP20" s="36"/>
      <c r="AQ20" s="36"/>
      <c r="AR20" s="36"/>
      <c r="AS20" s="36"/>
      <c r="AT20" s="36"/>
      <c r="AU20" s="36"/>
      <c r="AV20" s="36"/>
      <c r="AW20" s="36"/>
      <c r="AX20" s="36"/>
      <c r="AY20" s="36"/>
      <c r="AZ20" s="36"/>
      <c r="BA20" s="36"/>
      <c r="BB20" s="36"/>
      <c r="BC20" s="36"/>
      <c r="BD20" s="36"/>
      <c r="BE20" s="36"/>
    </row>
    <row r="21" spans="2:57" s="30" customFormat="1" ht="30" x14ac:dyDescent="0.2">
      <c r="B21" s="166" t="s">
        <v>455</v>
      </c>
      <c r="C21" s="471" t="s">
        <v>298</v>
      </c>
      <c r="D21" s="472"/>
      <c r="E21" s="472"/>
      <c r="F21" s="472"/>
      <c r="G21" s="473"/>
      <c r="H21" s="165"/>
      <c r="J21" s="169" t="s">
        <v>395</v>
      </c>
      <c r="K21" s="92" t="str">
        <f>IFERROR(IF(ISNUMBER(L21),L21,(VLOOKUP(C21,Kalusto!$C$45:$L$84,5,FALSE)*(VLOOKUP(C22,Muut!$D$40:$E$43,2,FALSE)))),"--")</f>
        <v>--</v>
      </c>
      <c r="L21" s="39"/>
      <c r="M21" s="40" t="s">
        <v>184</v>
      </c>
      <c r="N21" s="40"/>
      <c r="O21" s="259"/>
      <c r="Q21" s="45"/>
      <c r="R21" s="213" t="str">
        <f>IF(AND(NOT(ISNUMBER(AB21)),NOT(ISNUMBER(AG21))),"",IF(ISNUMBER(AB21),AB21,0)+IF(ISNUMBER(AG21),AG21,0))</f>
        <v/>
      </c>
      <c r="S21" s="226" t="s">
        <v>438</v>
      </c>
      <c r="T21" s="211" t="str">
        <f>IFERROR(IF(ISNUMBER(L21),"Kohdetieto",VLOOKUP(C21,Kalusto!$C$45:$L$84,7,FALSE)),"--")</f>
        <v>--</v>
      </c>
      <c r="U21" s="211" t="str">
        <f>IFERROR(IF(ISNUMBER(L21),"Kohdetieto",VLOOKUP(C21,Kalusto!$C$45:$L$84,8,FALSE)),"--")</f>
        <v>--</v>
      </c>
      <c r="V21" s="212" t="str">
        <f>IFERROR(IF(ISNUMBER(L21),"Kohdetieto",VLOOKUP(C21,Kalusto!$C$45:$L$84,9,FALSE)),"--")</f>
        <v>--</v>
      </c>
      <c r="W21" s="212" t="str">
        <f>IFERROR(IF(ISNUMBER(L21),"Kohdetieto",VLOOKUP(C21,Kalusto!$C$45:$L$84,10,FALSE)),"--")</f>
        <v>--</v>
      </c>
      <c r="X21" s="213" t="str">
        <f>IF(ISBLANK(C23),"",C23)</f>
        <v/>
      </c>
      <c r="Y21" s="211" t="str">
        <f>IF(ISNUMBER(C24),C24,"")</f>
        <v/>
      </c>
      <c r="Z21" s="213" t="str">
        <f>IF(ISNUMBER(X21/(U21*V21)*Y21),X21/(U21*V21)*Y21,"")</f>
        <v/>
      </c>
      <c r="AA21" s="214" t="str">
        <f>IF(ISNUMBER(L21),L21,K21)</f>
        <v>--</v>
      </c>
      <c r="AB21" s="213" t="str">
        <f>IF(ISNUMBER(Y21*X21*K21),Y21*X21*K21,"")</f>
        <v/>
      </c>
      <c r="AC21" s="213" t="str">
        <f>IF(C$26="Kyllä",Y21,"")</f>
        <v/>
      </c>
      <c r="AD21" s="213" t="str">
        <f>IF(C$26="Kyllä",IF(ISNUMBER(X21/(U21*V21)),CEILING(X21/(U21*V21),1),""),"")</f>
        <v/>
      </c>
      <c r="AE21" s="213" t="str">
        <f>IF(ISNUMBER(AD21*AC21),AD21*AC21,"")</f>
        <v/>
      </c>
      <c r="AF21" s="214" t="str">
        <f>IF(ISNUMBER(L23),L23,K23)</f>
        <v>--</v>
      </c>
      <c r="AG21" s="213" t="str">
        <f>IF(ISNUMBER(AC21*AD21*K23),AC21*AD21*K23,"")</f>
        <v/>
      </c>
      <c r="AH21" s="211">
        <f>IF(T21="Jakelukuorma-auto",0,IF(T21="Maansiirtoauto",4,IF(T21="Puoliperävaunu",6,8)))</f>
        <v>8</v>
      </c>
      <c r="AI21" s="211">
        <f>IF(AND(T21="Jakelukuorma-auto",U21=6),0,IF(AND(T21="Jakelukuorma-auto",U21=15),2,0))</f>
        <v>0</v>
      </c>
      <c r="AJ21" s="211">
        <f>IF(W21="maantieajo",0,1)</f>
        <v>1</v>
      </c>
      <c r="AK21" s="104"/>
      <c r="AL21" s="35"/>
      <c r="AM21" s="35"/>
      <c r="AN21" s="36"/>
      <c r="AO21" s="36"/>
      <c r="AP21" s="36"/>
      <c r="AQ21" s="36"/>
      <c r="AR21" s="36"/>
      <c r="AS21" s="36"/>
      <c r="AT21" s="36"/>
      <c r="AU21" s="36"/>
      <c r="AV21" s="36"/>
      <c r="AW21" s="36"/>
      <c r="AX21" s="36"/>
      <c r="AY21" s="36"/>
      <c r="AZ21" s="36"/>
      <c r="BA21" s="36"/>
      <c r="BB21" s="36"/>
      <c r="BC21" s="36"/>
      <c r="BD21" s="36"/>
      <c r="BE21" s="36"/>
    </row>
    <row r="22" spans="2:57" s="30" customFormat="1" ht="15" x14ac:dyDescent="0.2">
      <c r="B22" s="182" t="s">
        <v>457</v>
      </c>
      <c r="C22" s="156" t="s">
        <v>309</v>
      </c>
      <c r="D22" s="33"/>
      <c r="E22" s="33"/>
      <c r="F22" s="33"/>
      <c r="G22" s="33"/>
      <c r="H22" s="57"/>
      <c r="J22" s="169"/>
      <c r="K22" s="169"/>
      <c r="L22" s="169"/>
      <c r="M22" s="40"/>
      <c r="N22" s="40"/>
      <c r="O22" s="259"/>
      <c r="Q22" s="45"/>
      <c r="R22" s="43"/>
      <c r="S22" s="43"/>
      <c r="T22" s="43"/>
      <c r="U22" s="43"/>
      <c r="V22" s="215"/>
      <c r="W22" s="215"/>
      <c r="X22" s="216"/>
      <c r="Y22" s="43"/>
      <c r="Z22" s="216"/>
      <c r="AA22" s="217"/>
      <c r="AB22" s="216"/>
      <c r="AC22" s="216"/>
      <c r="AD22" s="216"/>
      <c r="AE22" s="216"/>
      <c r="AF22" s="217"/>
      <c r="AG22" s="216"/>
      <c r="AH22" s="43"/>
      <c r="AI22" s="43"/>
      <c r="AJ22" s="43"/>
      <c r="AK22" s="104"/>
      <c r="AL22" s="35"/>
      <c r="AM22" s="35"/>
      <c r="AN22" s="36"/>
      <c r="AO22" s="36"/>
      <c r="AP22" s="36"/>
      <c r="AQ22" s="36"/>
      <c r="AR22" s="36"/>
      <c r="AS22" s="36"/>
      <c r="AT22" s="36"/>
      <c r="AU22" s="36"/>
      <c r="AV22" s="36"/>
      <c r="AW22" s="36"/>
      <c r="AX22" s="36"/>
      <c r="AY22" s="36"/>
      <c r="AZ22" s="36"/>
      <c r="BA22" s="36"/>
      <c r="BB22" s="36"/>
      <c r="BC22" s="36"/>
      <c r="BD22" s="36"/>
      <c r="BE22" s="36"/>
    </row>
    <row r="23" spans="2:57" s="30" customFormat="1" ht="15" x14ac:dyDescent="0.2">
      <c r="B23" s="44" t="s">
        <v>456</v>
      </c>
      <c r="C23" s="152"/>
      <c r="D23" s="81" t="s">
        <v>52</v>
      </c>
      <c r="G23" s="33"/>
      <c r="H23" s="81"/>
      <c r="J23" s="32" t="s">
        <v>396</v>
      </c>
      <c r="K23" s="92" t="str">
        <f>IFERROR(IF(ISNUMBER(L23),L23,IF($C$26="Ei","",(VLOOKUP(C21,Kalusto!$C$45:$V$84,19,FALSE)*(VLOOKUP(C22,Muut!$D$40:$E$43,2,FALSE))))),"--")</f>
        <v>--</v>
      </c>
      <c r="L23" s="39"/>
      <c r="M23" s="40" t="s">
        <v>188</v>
      </c>
      <c r="N23" s="40"/>
      <c r="O23" s="259"/>
      <c r="P23" s="33"/>
      <c r="Q23" s="50"/>
      <c r="R23" s="213" t="str">
        <f>IF(ISNUMBER(R21),R21,"")</f>
        <v/>
      </c>
      <c r="S23" s="226" t="s">
        <v>439</v>
      </c>
      <c r="T23" s="43"/>
      <c r="U23" s="43"/>
      <c r="V23" s="43"/>
      <c r="W23" s="43"/>
      <c r="X23" s="43"/>
      <c r="Y23" s="43"/>
      <c r="Z23" s="43"/>
      <c r="AA23" s="43"/>
      <c r="AB23" s="43"/>
      <c r="AC23" s="43"/>
      <c r="AD23" s="43"/>
      <c r="AE23" s="43"/>
      <c r="AF23" s="43"/>
      <c r="AG23" s="43"/>
      <c r="AH23" s="43"/>
      <c r="AI23" s="43"/>
      <c r="AJ23" s="43"/>
      <c r="AK23" s="35"/>
      <c r="AL23" s="35"/>
      <c r="AM23" s="35"/>
      <c r="AN23" s="36"/>
      <c r="AO23" s="36"/>
      <c r="AP23" s="36"/>
      <c r="AQ23" s="36"/>
      <c r="AR23" s="36"/>
      <c r="AS23" s="36"/>
      <c r="AT23" s="36"/>
      <c r="AU23" s="36"/>
      <c r="AV23" s="36"/>
      <c r="AW23" s="36"/>
      <c r="AX23" s="36"/>
      <c r="AY23" s="36"/>
      <c r="AZ23" s="36"/>
      <c r="BA23" s="36"/>
      <c r="BB23" s="36"/>
      <c r="BC23" s="36"/>
      <c r="BD23" s="36"/>
      <c r="BE23" s="36"/>
    </row>
    <row r="24" spans="2:57" s="30" customFormat="1" ht="15" x14ac:dyDescent="0.2">
      <c r="B24" s="44" t="s">
        <v>458</v>
      </c>
      <c r="C24" s="152"/>
      <c r="D24" s="81" t="s">
        <v>5</v>
      </c>
      <c r="G24" s="33"/>
      <c r="H24" s="81"/>
      <c r="I24" s="51"/>
      <c r="J24" s="51"/>
      <c r="K24" s="33"/>
      <c r="L24" s="33"/>
      <c r="M24" s="81"/>
      <c r="N24" s="81"/>
      <c r="O24" s="96"/>
      <c r="P24" s="51"/>
      <c r="Q24" s="50"/>
      <c r="R24" s="43"/>
      <c r="S24" s="43"/>
      <c r="T24" s="43"/>
      <c r="U24" s="43"/>
      <c r="V24" s="43"/>
      <c r="W24" s="43"/>
      <c r="X24" s="43"/>
      <c r="Y24" s="43"/>
      <c r="Z24" s="43"/>
      <c r="AA24" s="43"/>
      <c r="AB24" s="43"/>
      <c r="AC24" s="43"/>
      <c r="AD24" s="43"/>
      <c r="AE24" s="43"/>
      <c r="AF24" s="43"/>
      <c r="AG24" s="43"/>
      <c r="AH24" s="43"/>
      <c r="AI24" s="43"/>
      <c r="AJ24" s="43"/>
      <c r="AK24" s="35"/>
      <c r="AL24" s="35"/>
      <c r="AM24" s="35"/>
      <c r="AN24" s="36"/>
      <c r="AO24" s="36"/>
      <c r="AP24" s="36"/>
      <c r="AQ24" s="36"/>
      <c r="AR24" s="36"/>
      <c r="AS24" s="36"/>
      <c r="AT24" s="36"/>
      <c r="AU24" s="36"/>
      <c r="AV24" s="36"/>
      <c r="AW24" s="36"/>
      <c r="AX24" s="36"/>
      <c r="AY24" s="36"/>
      <c r="AZ24" s="36"/>
      <c r="BA24" s="36"/>
      <c r="BB24" s="36"/>
      <c r="BC24" s="36"/>
      <c r="BD24" s="36"/>
      <c r="BE24" s="36"/>
    </row>
    <row r="25" spans="2:57" s="30" customFormat="1" ht="15" x14ac:dyDescent="0.2">
      <c r="C25" s="33"/>
      <c r="D25" s="81"/>
      <c r="G25" s="33"/>
      <c r="H25" s="81"/>
      <c r="J25" s="32"/>
      <c r="K25" s="33"/>
      <c r="L25" s="33"/>
      <c r="M25" s="81"/>
      <c r="N25" s="81"/>
      <c r="O25" s="96"/>
      <c r="Q25" s="34"/>
      <c r="R25" s="43"/>
      <c r="S25" s="43"/>
      <c r="T25" s="43"/>
      <c r="U25" s="43"/>
      <c r="V25" s="43"/>
      <c r="W25" s="43"/>
      <c r="X25" s="43"/>
      <c r="Y25" s="43"/>
      <c r="Z25" s="43"/>
      <c r="AA25" s="43"/>
      <c r="AB25" s="43"/>
      <c r="AC25" s="43"/>
      <c r="AD25" s="43"/>
      <c r="AE25" s="43"/>
      <c r="AF25" s="43"/>
      <c r="AG25" s="43"/>
      <c r="AH25" s="43"/>
      <c r="AI25" s="43"/>
      <c r="AJ25" s="43"/>
      <c r="AK25" s="35"/>
      <c r="AL25" s="35"/>
      <c r="AM25" s="35"/>
      <c r="AN25" s="36"/>
      <c r="AO25" s="36"/>
      <c r="AP25" s="36"/>
      <c r="AQ25" s="36"/>
      <c r="AR25" s="36"/>
      <c r="AS25" s="36"/>
      <c r="AT25" s="36"/>
      <c r="AU25" s="36"/>
      <c r="AV25" s="36"/>
      <c r="AW25" s="36"/>
      <c r="AX25" s="36"/>
      <c r="AY25" s="36"/>
      <c r="AZ25" s="36"/>
      <c r="BA25" s="36"/>
      <c r="BB25" s="36"/>
      <c r="BC25" s="36"/>
      <c r="BD25" s="36"/>
      <c r="BE25" s="36"/>
    </row>
    <row r="26" spans="2:57" s="30" customFormat="1" ht="45" x14ac:dyDescent="0.2">
      <c r="B26" s="76" t="s">
        <v>606</v>
      </c>
      <c r="C26" s="471" t="s">
        <v>6</v>
      </c>
      <c r="D26" s="473"/>
      <c r="G26" s="80" t="str">
        <f>C26</f>
        <v>Kyllä</v>
      </c>
      <c r="H26" s="81"/>
      <c r="J26" s="32"/>
      <c r="K26" s="33"/>
      <c r="L26" s="33"/>
      <c r="M26" s="81"/>
      <c r="N26" s="81"/>
      <c r="O26" s="96"/>
      <c r="Q26" s="34"/>
      <c r="R26" s="102"/>
      <c r="S26" s="43"/>
      <c r="T26" s="43"/>
      <c r="U26" s="43"/>
      <c r="V26" s="43"/>
      <c r="W26" s="43"/>
      <c r="X26" s="43"/>
      <c r="Y26" s="43"/>
      <c r="Z26" s="43"/>
      <c r="AA26" s="43"/>
      <c r="AB26" s="43"/>
      <c r="AC26" s="43"/>
      <c r="AD26" s="43"/>
      <c r="AE26" s="43"/>
      <c r="AF26" s="43"/>
      <c r="AG26" s="43"/>
      <c r="AH26" s="43"/>
      <c r="AI26" s="43"/>
      <c r="AJ26" s="43"/>
      <c r="AK26" s="35"/>
      <c r="AL26" s="35"/>
      <c r="AM26" s="35"/>
      <c r="AN26" s="36"/>
      <c r="AO26" s="36"/>
      <c r="AP26" s="36"/>
      <c r="AQ26" s="36"/>
      <c r="AR26" s="36"/>
      <c r="AS26" s="36"/>
      <c r="AT26" s="36"/>
      <c r="AU26" s="36"/>
      <c r="AV26" s="36"/>
      <c r="AW26" s="36"/>
      <c r="AX26" s="36"/>
      <c r="AY26" s="36"/>
      <c r="AZ26" s="36"/>
      <c r="BA26" s="36"/>
      <c r="BB26" s="36"/>
      <c r="BC26" s="36"/>
      <c r="BD26" s="36"/>
      <c r="BE26" s="36"/>
    </row>
    <row r="27" spans="2:57" s="30" customFormat="1" ht="15" x14ac:dyDescent="0.2">
      <c r="C27" s="33"/>
      <c r="D27" s="81"/>
      <c r="G27" s="33"/>
      <c r="H27" s="81"/>
      <c r="K27" s="33"/>
      <c r="L27" s="33"/>
      <c r="M27" s="81"/>
      <c r="N27" s="81"/>
      <c r="O27" s="81"/>
      <c r="Q27" s="34"/>
      <c r="R27" s="102"/>
      <c r="S27" s="43"/>
      <c r="T27" s="43"/>
      <c r="U27" s="43"/>
      <c r="V27" s="43"/>
      <c r="W27" s="43"/>
      <c r="X27" s="43"/>
      <c r="Y27" s="43"/>
      <c r="Z27" s="43"/>
      <c r="AA27" s="43"/>
      <c r="AB27" s="43"/>
      <c r="AC27" s="43"/>
      <c r="AD27" s="43"/>
      <c r="AE27" s="43"/>
      <c r="AF27" s="43"/>
      <c r="AG27" s="43"/>
      <c r="AH27" s="43"/>
      <c r="AI27" s="43"/>
      <c r="AJ27" s="43"/>
      <c r="AK27" s="35"/>
      <c r="AL27" s="35"/>
      <c r="AM27" s="35"/>
      <c r="AN27" s="36"/>
      <c r="AO27" s="36"/>
      <c r="AP27" s="36"/>
      <c r="AQ27" s="36"/>
      <c r="AR27" s="36"/>
      <c r="AS27" s="36"/>
      <c r="AT27" s="36"/>
      <c r="AU27" s="36"/>
      <c r="AV27" s="36"/>
      <c r="AW27" s="36"/>
      <c r="AX27" s="36"/>
      <c r="AY27" s="36"/>
      <c r="AZ27" s="36"/>
      <c r="BA27" s="36"/>
      <c r="BB27" s="36"/>
      <c r="BC27" s="36"/>
      <c r="BD27" s="36"/>
      <c r="BE27" s="36"/>
    </row>
    <row r="28" spans="2:57" s="289" customFormat="1" ht="18" x14ac:dyDescent="0.2">
      <c r="B28" s="286" t="s">
        <v>459</v>
      </c>
      <c r="C28" s="287"/>
      <c r="D28" s="288"/>
      <c r="G28" s="287"/>
      <c r="H28" s="288"/>
      <c r="K28" s="287"/>
      <c r="L28" s="287"/>
      <c r="M28" s="288"/>
      <c r="N28" s="288"/>
      <c r="O28" s="291"/>
      <c r="P28" s="311"/>
      <c r="Q28" s="295"/>
      <c r="S28" s="294"/>
      <c r="T28" s="294"/>
      <c r="U28" s="294"/>
      <c r="V28" s="294"/>
      <c r="W28" s="294"/>
      <c r="X28" s="294"/>
      <c r="Y28" s="294"/>
      <c r="Z28" s="294"/>
      <c r="AA28" s="294"/>
      <c r="AB28" s="294"/>
      <c r="AC28" s="294"/>
      <c r="AD28" s="294"/>
      <c r="AE28" s="294"/>
      <c r="AF28" s="294"/>
      <c r="AG28" s="294"/>
      <c r="AH28" s="294"/>
      <c r="AI28" s="294"/>
      <c r="AJ28" s="294"/>
      <c r="AK28" s="294"/>
      <c r="AL28" s="294"/>
      <c r="AM28" s="294"/>
      <c r="AN28" s="295"/>
      <c r="AO28" s="295"/>
      <c r="AP28" s="295"/>
      <c r="AQ28" s="295"/>
      <c r="AR28" s="295"/>
      <c r="AS28" s="295"/>
      <c r="AT28" s="295"/>
      <c r="AU28" s="295"/>
      <c r="AV28" s="295"/>
      <c r="AW28" s="295"/>
      <c r="AX28" s="295"/>
      <c r="AY28" s="295"/>
      <c r="AZ28" s="295"/>
      <c r="BA28" s="295"/>
      <c r="BB28" s="295"/>
      <c r="BC28" s="295"/>
      <c r="BD28" s="295"/>
      <c r="BE28" s="295"/>
    </row>
    <row r="29" spans="2:57" s="30" customFormat="1" ht="16.5" thickBot="1" x14ac:dyDescent="0.25">
      <c r="B29" s="8"/>
      <c r="C29" s="33"/>
      <c r="D29" s="81"/>
      <c r="G29" s="33"/>
      <c r="H29" s="81"/>
      <c r="J29" s="32"/>
      <c r="K29" s="37" t="s">
        <v>297</v>
      </c>
      <c r="L29" s="37" t="s">
        <v>185</v>
      </c>
      <c r="M29" s="83"/>
      <c r="N29" s="83"/>
      <c r="O29" s="249" t="s">
        <v>584</v>
      </c>
      <c r="P29" s="37"/>
      <c r="Q29" s="34"/>
      <c r="R29" s="216" t="s">
        <v>318</v>
      </c>
      <c r="S29" s="43"/>
      <c r="T29" s="43"/>
      <c r="U29" s="43"/>
      <c r="V29" s="43"/>
      <c r="W29" s="43"/>
      <c r="X29" s="43"/>
      <c r="Y29" s="43"/>
      <c r="Z29" s="43"/>
      <c r="AA29" s="43"/>
      <c r="AB29" s="43"/>
      <c r="AC29" s="43"/>
      <c r="AD29" s="43"/>
      <c r="AE29" s="43"/>
      <c r="AF29" s="43"/>
      <c r="AG29" s="43"/>
      <c r="AH29" s="43"/>
      <c r="AI29" s="43"/>
      <c r="AJ29" s="43"/>
      <c r="AK29" s="35"/>
      <c r="AL29" s="35"/>
      <c r="AM29" s="35"/>
      <c r="AN29" s="36"/>
      <c r="AO29" s="36"/>
      <c r="AP29" s="36"/>
      <c r="AQ29" s="36"/>
      <c r="AR29" s="36"/>
      <c r="AS29" s="36"/>
      <c r="AT29" s="36"/>
      <c r="AU29" s="36"/>
      <c r="AV29" s="36"/>
      <c r="AW29" s="36"/>
      <c r="AX29" s="36"/>
      <c r="AY29" s="36"/>
      <c r="AZ29" s="36"/>
      <c r="BA29" s="36"/>
      <c r="BB29" s="36"/>
      <c r="BC29" s="36"/>
      <c r="BD29" s="36"/>
      <c r="BE29" s="36"/>
    </row>
    <row r="30" spans="2:57" s="30" customFormat="1" ht="45.75" thickBot="1" x14ac:dyDescent="0.25">
      <c r="B30" s="38" t="s">
        <v>428</v>
      </c>
      <c r="C30" s="152"/>
      <c r="D30" s="85" t="s">
        <v>162</v>
      </c>
      <c r="E30" s="31"/>
      <c r="F30" s="31"/>
      <c r="G30" s="33"/>
      <c r="H30" s="81"/>
      <c r="J30" s="32" t="s">
        <v>410</v>
      </c>
      <c r="K30" s="92">
        <f>IF(ISNUMBER(L30),L30,Muut!$F$5)</f>
        <v>8.4</v>
      </c>
      <c r="L30" s="39"/>
      <c r="M30" s="40" t="s">
        <v>266</v>
      </c>
      <c r="N30" s="40"/>
      <c r="O30" s="250"/>
      <c r="Q30" s="34"/>
      <c r="R30" s="232" t="str">
        <f>IF(ISNUMBER(C30),IF(ISNUMBER(L30),L30*C30,K30*C30),"")</f>
        <v/>
      </c>
      <c r="S30" s="226" t="s">
        <v>317</v>
      </c>
      <c r="T30" s="218"/>
      <c r="U30" s="218"/>
      <c r="V30" s="218"/>
      <c r="W30" s="43"/>
      <c r="X30" s="43"/>
      <c r="Y30" s="43"/>
      <c r="Z30" s="43"/>
      <c r="AA30" s="43"/>
      <c r="AB30" s="43"/>
      <c r="AC30" s="43"/>
      <c r="AD30" s="43"/>
      <c r="AE30" s="43"/>
      <c r="AF30" s="43"/>
      <c r="AG30" s="43"/>
      <c r="AH30" s="43"/>
      <c r="AI30" s="43"/>
      <c r="AJ30" s="43"/>
      <c r="AK30" s="35"/>
      <c r="AL30" s="35"/>
      <c r="AM30" s="35"/>
      <c r="AN30" s="36"/>
      <c r="AO30" s="36"/>
      <c r="AP30" s="36"/>
      <c r="AQ30" s="36"/>
      <c r="AR30" s="36"/>
      <c r="AS30" s="36"/>
      <c r="AT30" s="36"/>
      <c r="AU30" s="36"/>
      <c r="AV30" s="36"/>
      <c r="AW30" s="36"/>
      <c r="AX30" s="36"/>
      <c r="AY30" s="36"/>
      <c r="AZ30" s="36"/>
      <c r="BA30" s="36"/>
      <c r="BB30" s="36"/>
      <c r="BC30" s="36"/>
      <c r="BD30" s="36"/>
      <c r="BE30" s="36"/>
    </row>
    <row r="31" spans="2:57" s="30" customFormat="1" ht="15" x14ac:dyDescent="0.2">
      <c r="B31" s="166" t="s">
        <v>460</v>
      </c>
      <c r="C31" s="156" t="s">
        <v>309</v>
      </c>
      <c r="D31" s="85"/>
      <c r="E31" s="31"/>
      <c r="F31" s="31"/>
      <c r="G31" s="33"/>
      <c r="H31" s="81"/>
      <c r="J31" s="32" t="s">
        <v>409</v>
      </c>
      <c r="K31" s="92" t="str">
        <f>IFERROR(Muut!$F$6*VLOOKUP(C31,Muut!$D$40:$E$43,2,FALSE),"--")</f>
        <v>--</v>
      </c>
      <c r="L31" s="39"/>
      <c r="M31" s="40" t="s">
        <v>266</v>
      </c>
      <c r="N31" s="40"/>
      <c r="O31" s="250"/>
      <c r="Q31" s="34"/>
      <c r="R31" s="233" t="str">
        <f>IF(ISNUMBER(C30),IF(ISNUMBER(L31),L31*C30,K31*C30),"")</f>
        <v/>
      </c>
      <c r="S31" s="226" t="s">
        <v>160</v>
      </c>
      <c r="T31" s="218"/>
      <c r="U31" s="218"/>
      <c r="V31" s="218"/>
      <c r="W31" s="43"/>
      <c r="X31" s="43"/>
      <c r="Y31" s="43"/>
      <c r="Z31" s="43"/>
      <c r="AA31" s="43"/>
      <c r="AB31" s="43"/>
      <c r="AC31" s="43"/>
      <c r="AD31" s="43"/>
      <c r="AE31" s="43"/>
      <c r="AF31" s="43"/>
      <c r="AG31" s="43"/>
      <c r="AH31" s="43"/>
      <c r="AI31" s="43"/>
      <c r="AJ31" s="43"/>
      <c r="AK31" s="35"/>
      <c r="AL31" s="35"/>
      <c r="AM31" s="35"/>
      <c r="AN31" s="36"/>
      <c r="AO31" s="36"/>
      <c r="AP31" s="36"/>
      <c r="AQ31" s="36"/>
      <c r="AR31" s="36"/>
      <c r="AS31" s="36"/>
      <c r="AT31" s="36"/>
      <c r="AU31" s="36"/>
      <c r="AV31" s="36"/>
      <c r="AW31" s="36"/>
      <c r="AX31" s="36"/>
      <c r="AY31" s="36"/>
      <c r="AZ31" s="36"/>
      <c r="BA31" s="36"/>
      <c r="BB31" s="36"/>
      <c r="BC31" s="36"/>
      <c r="BD31" s="36"/>
      <c r="BE31" s="36"/>
    </row>
    <row r="32" spans="2:57" s="30" customFormat="1" ht="15" x14ac:dyDescent="0.2">
      <c r="B32" s="38" t="s">
        <v>429</v>
      </c>
      <c r="C32" s="152"/>
      <c r="D32" s="85" t="s">
        <v>162</v>
      </c>
      <c r="E32" s="31"/>
      <c r="F32" s="31"/>
      <c r="G32" s="33"/>
      <c r="H32" s="81"/>
      <c r="J32" s="32" t="s">
        <v>408</v>
      </c>
      <c r="K32" s="92" t="str">
        <f>IFERROR(Muut!$F$7*VLOOKUP(C33,Muut!$D$40:$E$43,2,FALSE),"--")</f>
        <v>--</v>
      </c>
      <c r="L32" s="39"/>
      <c r="M32" s="40" t="s">
        <v>266</v>
      </c>
      <c r="N32" s="40"/>
      <c r="O32" s="250"/>
      <c r="Q32" s="34"/>
      <c r="R32" s="211" t="str">
        <f>IF(ISNUMBER(#REF!),IF(ISNUMBER(L32),L32*#REF!,K32*#REF!),"")</f>
        <v/>
      </c>
      <c r="S32" s="226" t="s">
        <v>160</v>
      </c>
      <c r="T32" s="218"/>
      <c r="U32" s="218"/>
      <c r="V32" s="218"/>
      <c r="W32" s="43"/>
      <c r="X32" s="43"/>
      <c r="Y32" s="43"/>
      <c r="Z32" s="43"/>
      <c r="AA32" s="43"/>
      <c r="AB32" s="43"/>
      <c r="AC32" s="43"/>
      <c r="AD32" s="43"/>
      <c r="AE32" s="43"/>
      <c r="AF32" s="43"/>
      <c r="AG32" s="43"/>
      <c r="AH32" s="43"/>
      <c r="AI32" s="43"/>
      <c r="AJ32" s="43"/>
      <c r="AK32" s="35"/>
      <c r="AL32" s="35"/>
      <c r="AM32" s="35"/>
      <c r="AN32" s="36"/>
      <c r="AO32" s="36"/>
      <c r="AP32" s="36"/>
      <c r="AQ32" s="36"/>
      <c r="AR32" s="36"/>
      <c r="AS32" s="36"/>
      <c r="AT32" s="36"/>
      <c r="AU32" s="36"/>
      <c r="AV32" s="36"/>
      <c r="AW32" s="36"/>
      <c r="AX32" s="36"/>
      <c r="AY32" s="36"/>
      <c r="AZ32" s="36"/>
      <c r="BA32" s="36"/>
      <c r="BB32" s="36"/>
      <c r="BC32" s="36"/>
      <c r="BD32" s="36"/>
      <c r="BE32" s="36"/>
    </row>
    <row r="33" spans="2:57" s="30" customFormat="1" ht="15" x14ac:dyDescent="0.2">
      <c r="B33" s="166" t="s">
        <v>460</v>
      </c>
      <c r="C33" s="156" t="s">
        <v>309</v>
      </c>
      <c r="D33" s="33"/>
      <c r="E33" s="33"/>
      <c r="F33" s="33"/>
      <c r="G33" s="33"/>
      <c r="H33" s="57"/>
      <c r="J33" s="169"/>
      <c r="K33" s="169"/>
      <c r="L33" s="169"/>
      <c r="M33" s="40"/>
      <c r="N33" s="40"/>
      <c r="O33" s="250"/>
      <c r="Q33" s="45"/>
      <c r="R33" s="226"/>
      <c r="S33" s="226"/>
      <c r="T33" s="43"/>
      <c r="U33" s="43"/>
      <c r="V33" s="215"/>
      <c r="W33" s="215"/>
      <c r="X33" s="216"/>
      <c r="Y33" s="43"/>
      <c r="Z33" s="216"/>
      <c r="AA33" s="217"/>
      <c r="AB33" s="216"/>
      <c r="AC33" s="216"/>
      <c r="AD33" s="216"/>
      <c r="AE33" s="216"/>
      <c r="AF33" s="217"/>
      <c r="AG33" s="216"/>
      <c r="AH33" s="43"/>
      <c r="AI33" s="43"/>
      <c r="AJ33" s="43"/>
      <c r="AK33" s="104"/>
      <c r="AL33" s="35"/>
      <c r="AM33" s="35"/>
      <c r="AN33" s="36"/>
      <c r="AO33" s="36"/>
      <c r="AP33" s="36"/>
      <c r="AQ33" s="36"/>
      <c r="AR33" s="36"/>
      <c r="AS33" s="36"/>
      <c r="AT33" s="36"/>
      <c r="AU33" s="36"/>
      <c r="AV33" s="36"/>
      <c r="AW33" s="36"/>
      <c r="AX33" s="36"/>
      <c r="AY33" s="36"/>
      <c r="AZ33" s="36"/>
      <c r="BA33" s="36"/>
      <c r="BB33" s="36"/>
      <c r="BC33" s="36"/>
      <c r="BD33" s="36"/>
      <c r="BE33" s="36"/>
    </row>
    <row r="34" spans="2:57" s="30" customFormat="1" ht="15" x14ac:dyDescent="0.2">
      <c r="B34" s="38" t="s">
        <v>358</v>
      </c>
      <c r="C34" s="152"/>
      <c r="D34" s="85" t="s">
        <v>163</v>
      </c>
      <c r="E34" s="31"/>
      <c r="F34" s="31"/>
      <c r="G34" s="33"/>
      <c r="H34" s="81"/>
      <c r="J34" s="32" t="s">
        <v>407</v>
      </c>
      <c r="K34" s="92" t="str">
        <f>IFERROR(Muut!$F$8*VLOOKUP(C35,Muut!$D$40:$E$43,2,FALSE),"--")</f>
        <v>--</v>
      </c>
      <c r="L34" s="39"/>
      <c r="M34" s="40" t="s">
        <v>207</v>
      </c>
      <c r="N34" s="40"/>
      <c r="O34" s="250"/>
      <c r="Q34" s="34"/>
      <c r="R34" s="211" t="str">
        <f>IF(ISNUMBER(C34),IF(ISNUMBER(L34),L34*C34,K34*C34),"")</f>
        <v/>
      </c>
      <c r="S34" s="226" t="s">
        <v>160</v>
      </c>
      <c r="T34" s="218"/>
      <c r="U34" s="218"/>
      <c r="V34" s="218"/>
      <c r="W34" s="43"/>
      <c r="X34" s="43"/>
      <c r="Y34" s="43"/>
      <c r="Z34" s="43"/>
      <c r="AA34" s="43"/>
      <c r="AB34" s="43"/>
      <c r="AC34" s="43"/>
      <c r="AD34" s="43"/>
      <c r="AE34" s="43"/>
      <c r="AF34" s="43"/>
      <c r="AG34" s="43"/>
      <c r="AH34" s="43"/>
      <c r="AI34" s="43"/>
      <c r="AJ34" s="43"/>
      <c r="AK34" s="35"/>
      <c r="AL34" s="35"/>
      <c r="AM34" s="35"/>
      <c r="AN34" s="36"/>
      <c r="AO34" s="36"/>
      <c r="AP34" s="36"/>
      <c r="AQ34" s="36"/>
      <c r="AR34" s="36"/>
      <c r="AS34" s="36"/>
      <c r="AT34" s="36"/>
      <c r="AU34" s="36"/>
      <c r="AV34" s="36"/>
      <c r="AW34" s="36"/>
      <c r="AX34" s="36"/>
      <c r="AY34" s="36"/>
      <c r="AZ34" s="36"/>
      <c r="BA34" s="36"/>
      <c r="BB34" s="36"/>
      <c r="BC34" s="36"/>
      <c r="BD34" s="36"/>
      <c r="BE34" s="36"/>
    </row>
    <row r="35" spans="2:57" s="30" customFormat="1" ht="15" x14ac:dyDescent="0.2">
      <c r="B35" s="166" t="s">
        <v>460</v>
      </c>
      <c r="C35" s="156" t="s">
        <v>309</v>
      </c>
      <c r="D35" s="33"/>
      <c r="E35" s="33"/>
      <c r="F35" s="33"/>
      <c r="G35" s="33"/>
      <c r="H35" s="57"/>
      <c r="J35" s="169"/>
      <c r="K35" s="169"/>
      <c r="L35" s="169"/>
      <c r="M35" s="40"/>
      <c r="N35" s="40"/>
      <c r="O35" s="40"/>
      <c r="Q35" s="45"/>
      <c r="R35" s="226"/>
      <c r="S35" s="226"/>
      <c r="T35" s="43"/>
      <c r="U35" s="43"/>
      <c r="V35" s="215"/>
      <c r="W35" s="215"/>
      <c r="X35" s="216"/>
      <c r="Y35" s="43"/>
      <c r="Z35" s="216"/>
      <c r="AA35" s="217"/>
      <c r="AB35" s="216"/>
      <c r="AC35" s="216"/>
      <c r="AD35" s="216"/>
      <c r="AE35" s="216"/>
      <c r="AF35" s="217"/>
      <c r="AG35" s="216"/>
      <c r="AH35" s="43"/>
      <c r="AI35" s="43"/>
      <c r="AJ35" s="43"/>
      <c r="AK35" s="104"/>
      <c r="AL35" s="35"/>
      <c r="AM35" s="35"/>
      <c r="AN35" s="36"/>
      <c r="AO35" s="36"/>
      <c r="AP35" s="36"/>
      <c r="AQ35" s="36"/>
      <c r="AR35" s="36"/>
      <c r="AS35" s="36"/>
      <c r="AT35" s="36"/>
      <c r="AU35" s="36"/>
      <c r="AV35" s="36"/>
      <c r="AW35" s="36"/>
      <c r="AX35" s="36"/>
      <c r="AY35" s="36"/>
      <c r="AZ35" s="36"/>
      <c r="BA35" s="36"/>
      <c r="BB35" s="36"/>
      <c r="BC35" s="36"/>
      <c r="BD35" s="36"/>
      <c r="BE35" s="36"/>
    </row>
    <row r="36" spans="2:57" s="30" customFormat="1" ht="15.75" x14ac:dyDescent="0.2">
      <c r="B36" s="8"/>
      <c r="C36" s="33"/>
      <c r="D36" s="81"/>
      <c r="G36" s="33"/>
      <c r="H36" s="81"/>
      <c r="K36" s="33"/>
      <c r="L36" s="33"/>
      <c r="M36" s="81"/>
      <c r="N36" s="81"/>
      <c r="O36" s="81"/>
      <c r="Q36" s="34"/>
      <c r="R36" s="43"/>
      <c r="S36" s="43"/>
      <c r="T36" s="43"/>
      <c r="U36" s="43"/>
      <c r="V36" s="43"/>
      <c r="W36" s="43"/>
      <c r="X36" s="43"/>
      <c r="Y36" s="43"/>
      <c r="Z36" s="43"/>
      <c r="AA36" s="43"/>
      <c r="AB36" s="43"/>
      <c r="AC36" s="43"/>
      <c r="AD36" s="43"/>
      <c r="AE36" s="43"/>
      <c r="AF36" s="43"/>
      <c r="AG36" s="43"/>
      <c r="AH36" s="43"/>
      <c r="AI36" s="43"/>
      <c r="AJ36" s="43"/>
      <c r="AK36" s="35"/>
      <c r="AL36" s="35"/>
      <c r="AM36" s="35"/>
      <c r="AN36" s="36"/>
      <c r="AO36" s="36"/>
      <c r="AP36" s="36"/>
      <c r="AQ36" s="36"/>
      <c r="AR36" s="36"/>
      <c r="AS36" s="36"/>
      <c r="AT36" s="36"/>
      <c r="AU36" s="36"/>
      <c r="AV36" s="36"/>
      <c r="AW36" s="36"/>
      <c r="AX36" s="36"/>
      <c r="AY36" s="36"/>
      <c r="AZ36" s="36"/>
      <c r="BA36" s="36"/>
      <c r="BB36" s="36"/>
      <c r="BC36" s="36"/>
      <c r="BD36" s="36"/>
      <c r="BE36" s="36"/>
    </row>
    <row r="37" spans="2:57" s="289" customFormat="1" ht="18" x14ac:dyDescent="0.2">
      <c r="B37" s="286" t="s">
        <v>262</v>
      </c>
      <c r="C37" s="287"/>
      <c r="D37" s="288"/>
      <c r="G37" s="287"/>
      <c r="H37" s="288"/>
      <c r="K37" s="287"/>
      <c r="L37" s="287"/>
      <c r="M37" s="288"/>
      <c r="N37" s="288"/>
      <c r="O37" s="291"/>
      <c r="P37" s="311"/>
      <c r="Q37" s="295"/>
      <c r="S37" s="294"/>
      <c r="T37" s="294"/>
      <c r="U37" s="294"/>
      <c r="V37" s="294"/>
      <c r="W37" s="294"/>
      <c r="X37" s="294"/>
      <c r="Y37" s="294"/>
      <c r="Z37" s="294"/>
      <c r="AA37" s="294"/>
      <c r="AB37" s="294"/>
      <c r="AC37" s="294"/>
      <c r="AD37" s="294"/>
      <c r="AE37" s="294"/>
      <c r="AF37" s="294"/>
      <c r="AG37" s="294"/>
      <c r="AH37" s="294"/>
      <c r="AI37" s="294"/>
      <c r="AJ37" s="294"/>
      <c r="AK37" s="294"/>
      <c r="AL37" s="294"/>
      <c r="AM37" s="294"/>
      <c r="AN37" s="295"/>
      <c r="AO37" s="295"/>
      <c r="AP37" s="295"/>
      <c r="AQ37" s="295"/>
      <c r="AR37" s="295"/>
      <c r="AS37" s="295"/>
      <c r="AT37" s="295"/>
      <c r="AU37" s="295"/>
      <c r="AV37" s="295"/>
      <c r="AW37" s="295"/>
      <c r="AX37" s="295"/>
      <c r="AY37" s="295"/>
      <c r="AZ37" s="295"/>
      <c r="BA37" s="295"/>
      <c r="BB37" s="295"/>
      <c r="BC37" s="295"/>
      <c r="BD37" s="295"/>
      <c r="BE37" s="295"/>
    </row>
    <row r="38" spans="2:57" s="30" customFormat="1" ht="15" x14ac:dyDescent="0.2">
      <c r="B38" s="52"/>
      <c r="Q38" s="129"/>
      <c r="R38" s="220"/>
      <c r="S38" s="220"/>
      <c r="T38" s="220"/>
      <c r="U38" s="220"/>
      <c r="V38" s="220"/>
      <c r="W38" s="220"/>
      <c r="X38" s="220"/>
      <c r="Y38" s="220"/>
      <c r="Z38" s="220"/>
      <c r="AA38" s="220"/>
      <c r="AB38" s="220"/>
      <c r="AC38" s="220"/>
      <c r="AD38" s="220"/>
      <c r="AE38" s="220"/>
      <c r="AF38" s="220"/>
      <c r="AG38" s="220"/>
      <c r="AH38" s="220"/>
      <c r="AI38" s="220"/>
      <c r="AJ38" s="220"/>
      <c r="AK38" s="104"/>
      <c r="AL38" s="104"/>
      <c r="AM38" s="104"/>
      <c r="AN38" s="104"/>
      <c r="AO38" s="104"/>
      <c r="AP38" s="104"/>
      <c r="AQ38" s="104"/>
      <c r="AR38" s="104"/>
      <c r="AS38" s="104"/>
      <c r="AT38" s="104"/>
      <c r="AU38" s="104"/>
      <c r="AV38" s="104"/>
      <c r="AW38" s="104"/>
      <c r="AX38" s="104"/>
      <c r="AY38" s="104"/>
      <c r="AZ38" s="104"/>
      <c r="BA38" s="104"/>
      <c r="BB38" s="104"/>
      <c r="BC38" s="104"/>
      <c r="BD38" s="104"/>
      <c r="BE38" s="104"/>
    </row>
    <row r="39" spans="2:57" s="30" customFormat="1" ht="15" x14ac:dyDescent="0.2">
      <c r="B39" s="151" t="s">
        <v>354</v>
      </c>
      <c r="C39" s="52"/>
      <c r="D39" s="52"/>
      <c r="E39" s="52"/>
      <c r="F39" s="52"/>
      <c r="G39" s="52"/>
      <c r="H39" s="52"/>
      <c r="I39" s="52"/>
      <c r="J39" s="52"/>
      <c r="K39" s="37" t="s">
        <v>297</v>
      </c>
      <c r="L39" s="37" t="s">
        <v>185</v>
      </c>
      <c r="M39" s="81"/>
      <c r="N39" s="81"/>
      <c r="O39" s="249" t="s">
        <v>584</v>
      </c>
      <c r="P39" s="37"/>
      <c r="Q39" s="34"/>
      <c r="R39" s="216" t="s">
        <v>318</v>
      </c>
      <c r="S39" s="43"/>
      <c r="T39" s="43" t="s">
        <v>246</v>
      </c>
      <c r="U39" s="43" t="s">
        <v>319</v>
      </c>
      <c r="V39" s="43" t="s">
        <v>320</v>
      </c>
      <c r="W39" s="43"/>
      <c r="X39" s="43"/>
      <c r="Y39" s="43"/>
      <c r="Z39" s="43"/>
      <c r="AA39" s="221"/>
      <c r="AB39" s="43"/>
      <c r="AC39" s="43"/>
      <c r="AD39" s="43"/>
      <c r="AE39" s="43"/>
      <c r="AF39" s="43"/>
      <c r="AG39" s="43"/>
      <c r="AH39" s="43"/>
      <c r="AI39" s="43"/>
      <c r="AJ39" s="43"/>
      <c r="AK39" s="35"/>
      <c r="AL39" s="35"/>
      <c r="AM39" s="35"/>
      <c r="AN39" s="36"/>
      <c r="AO39" s="36"/>
      <c r="AP39" s="36"/>
      <c r="AQ39" s="36"/>
      <c r="AR39" s="36"/>
      <c r="AS39" s="36"/>
      <c r="AT39" s="36"/>
      <c r="AU39" s="36"/>
      <c r="AV39" s="36"/>
      <c r="AW39" s="36"/>
      <c r="AX39" s="36"/>
      <c r="AY39" s="36"/>
      <c r="AZ39" s="36"/>
      <c r="BA39" s="36"/>
      <c r="BB39" s="36"/>
      <c r="BC39" s="36"/>
      <c r="BD39" s="36"/>
      <c r="BE39" s="36"/>
    </row>
    <row r="40" spans="2:57" s="30" customFormat="1" ht="15" x14ac:dyDescent="0.2">
      <c r="B40" s="52" t="s">
        <v>461</v>
      </c>
      <c r="C40" s="471" t="s">
        <v>300</v>
      </c>
      <c r="D40" s="472"/>
      <c r="E40" s="472"/>
      <c r="F40" s="472"/>
      <c r="G40" s="473"/>
      <c r="J40" s="32" t="s">
        <v>424</v>
      </c>
      <c r="K40" s="92" t="str">
        <f>IF(ISNUMBER(L40),L40,IF(C40=Kalusto!$C$33,Kalusto!$E$33*1/IF(C41=Pudotusvalikot!$V$4,Muut!$F$45*(Muut!$F$15+Muut!$F$18),IF(C41=Pudotusvalikot!$V$5,Muut!$F$46*(Muut!$F$16+Muut!$F$19),IF(C41=Pudotusvalikot!$V$6,Muut!$F$47*(Muut!$F$17+Muut!$F$20),(Muut!$F$11+Muut!$F$13)))),IF(C40=Pudotusvalikot!$D$67,"--",VLOOKUP(C40,Kalusto!$C$5:$E$42,3,FALSE)*VLOOKUP(C41,Muut!$D$40:$E$43,2,FALSE))))</f>
        <v>--</v>
      </c>
      <c r="L40" s="39"/>
      <c r="M40" s="40" t="s">
        <v>189</v>
      </c>
      <c r="N40" s="40"/>
      <c r="O40" s="250"/>
      <c r="P40" s="58"/>
      <c r="Q40" s="34"/>
      <c r="R40" s="213" t="str">
        <f>IF(ISNUMBER(K40*V40),K40*V40,"")</f>
        <v/>
      </c>
      <c r="S40" s="226" t="s">
        <v>160</v>
      </c>
      <c r="T40" s="213" t="str">
        <f>IF(ISNUMBER(C42),C42,"")</f>
        <v/>
      </c>
      <c r="U40" s="219" t="str">
        <f>IF(D42="h","",IF(ISNUMBER(C42),C42,""))</f>
        <v/>
      </c>
      <c r="V40" s="213" t="str">
        <f>IF(ISNUMBER(T40),IF(D42="h",C42,IF(ISNUMBER(T40*U40),IF(D42="m3/h",T40/U40,T40*U40),"")),"")</f>
        <v/>
      </c>
      <c r="W40" s="220"/>
      <c r="X40" s="216"/>
      <c r="Y40" s="43"/>
      <c r="Z40" s="43"/>
      <c r="AA40" s="43"/>
      <c r="AB40" s="43"/>
      <c r="AC40" s="43"/>
      <c r="AD40" s="43"/>
      <c r="AE40" s="43"/>
      <c r="AF40" s="43"/>
      <c r="AG40" s="43"/>
      <c r="AH40" s="43"/>
      <c r="AI40" s="43"/>
      <c r="AJ40" s="43"/>
      <c r="AK40" s="35"/>
      <c r="AL40" s="35"/>
      <c r="AM40" s="35"/>
      <c r="AN40" s="36"/>
      <c r="AO40" s="36"/>
      <c r="AP40" s="36"/>
      <c r="AQ40" s="36"/>
      <c r="AR40" s="36"/>
      <c r="AS40" s="36"/>
      <c r="AT40" s="36"/>
      <c r="AU40" s="36"/>
      <c r="AV40" s="36"/>
      <c r="AW40" s="36"/>
      <c r="AX40" s="36"/>
      <c r="AY40" s="36"/>
      <c r="AZ40" s="36"/>
      <c r="BA40" s="36"/>
      <c r="BB40" s="36"/>
      <c r="BC40" s="36"/>
      <c r="BD40" s="36"/>
      <c r="BE40" s="36"/>
    </row>
    <row r="41" spans="2:57" s="30" customFormat="1" ht="15" x14ac:dyDescent="0.2">
      <c r="B41" s="166" t="s">
        <v>460</v>
      </c>
      <c r="C41" s="156" t="s">
        <v>309</v>
      </c>
      <c r="D41" s="33"/>
      <c r="E41" s="33"/>
      <c r="F41" s="33"/>
      <c r="G41" s="33"/>
      <c r="J41" s="32"/>
      <c r="K41" s="32"/>
      <c r="L41" s="32"/>
      <c r="M41" s="32"/>
      <c r="N41" s="32"/>
      <c r="O41" s="265"/>
      <c r="P41" s="58"/>
      <c r="Q41" s="34"/>
      <c r="R41" s="216"/>
      <c r="S41" s="226"/>
      <c r="T41" s="216"/>
      <c r="U41" s="221"/>
      <c r="V41" s="216"/>
      <c r="W41" s="220"/>
      <c r="X41" s="216"/>
      <c r="Y41" s="43"/>
      <c r="Z41" s="43"/>
      <c r="AA41" s="43"/>
      <c r="AB41" s="43"/>
      <c r="AC41" s="43"/>
      <c r="AD41" s="43"/>
      <c r="AE41" s="43"/>
      <c r="AF41" s="43"/>
      <c r="AG41" s="43"/>
      <c r="AH41" s="43"/>
      <c r="AI41" s="43"/>
      <c r="AJ41" s="43"/>
      <c r="AK41" s="35"/>
      <c r="AL41" s="35"/>
      <c r="AM41" s="35"/>
      <c r="AN41" s="36"/>
      <c r="AO41" s="36"/>
      <c r="AP41" s="36"/>
      <c r="AQ41" s="36"/>
      <c r="AR41" s="36"/>
      <c r="AS41" s="36"/>
      <c r="AT41" s="36"/>
      <c r="AU41" s="36"/>
      <c r="AV41" s="36"/>
      <c r="AW41" s="36"/>
      <c r="AX41" s="36"/>
      <c r="AY41" s="36"/>
      <c r="AZ41" s="36"/>
      <c r="BA41" s="36"/>
      <c r="BB41" s="36"/>
      <c r="BC41" s="36"/>
      <c r="BD41" s="36"/>
      <c r="BE41" s="36"/>
    </row>
    <row r="42" spans="2:57" s="30" customFormat="1" ht="15" x14ac:dyDescent="0.2">
      <c r="B42" s="44" t="s">
        <v>357</v>
      </c>
      <c r="C42" s="155"/>
      <c r="D42" s="81" t="s">
        <v>51</v>
      </c>
      <c r="E42" s="33"/>
      <c r="F42" s="33"/>
      <c r="G42" s="33"/>
      <c r="J42" s="32"/>
      <c r="M42" s="81"/>
      <c r="N42" s="81"/>
      <c r="O42" s="96"/>
      <c r="P42" s="41"/>
      <c r="Q42" s="50"/>
      <c r="R42" s="234"/>
      <c r="S42" s="43"/>
      <c r="T42" s="43"/>
      <c r="U42" s="43"/>
      <c r="V42" s="43"/>
      <c r="W42" s="43"/>
      <c r="X42" s="43"/>
      <c r="Y42" s="43"/>
      <c r="Z42" s="43"/>
      <c r="AA42" s="43"/>
      <c r="AB42" s="43"/>
      <c r="AC42" s="43"/>
      <c r="AD42" s="43"/>
      <c r="AE42" s="43"/>
      <c r="AF42" s="43"/>
      <c r="AG42" s="43"/>
      <c r="AH42" s="43"/>
      <c r="AI42" s="43"/>
      <c r="AJ42" s="43"/>
      <c r="AK42" s="35"/>
      <c r="AL42" s="35"/>
      <c r="AM42" s="35"/>
      <c r="AN42" s="36"/>
      <c r="AO42" s="36"/>
      <c r="AP42" s="36"/>
      <c r="AQ42" s="36"/>
      <c r="AR42" s="36"/>
      <c r="AS42" s="36"/>
      <c r="AT42" s="36"/>
      <c r="AU42" s="36"/>
      <c r="AV42" s="36"/>
      <c r="AW42" s="36"/>
      <c r="AX42" s="36"/>
      <c r="AY42" s="36"/>
      <c r="AZ42" s="36"/>
      <c r="BA42" s="36"/>
      <c r="BB42" s="36"/>
      <c r="BC42" s="36"/>
      <c r="BD42" s="36"/>
      <c r="BE42" s="36"/>
    </row>
    <row r="43" spans="2:57" s="30" customFormat="1" ht="15" x14ac:dyDescent="0.2">
      <c r="B43" s="151" t="s">
        <v>355</v>
      </c>
      <c r="K43" s="37" t="s">
        <v>297</v>
      </c>
      <c r="L43" s="37" t="s">
        <v>185</v>
      </c>
      <c r="O43" s="253"/>
      <c r="Q43" s="129"/>
      <c r="R43" s="216" t="s">
        <v>318</v>
      </c>
      <c r="S43" s="220"/>
      <c r="T43" s="43" t="s">
        <v>246</v>
      </c>
      <c r="U43" s="43" t="s">
        <v>319</v>
      </c>
      <c r="V43" s="43" t="s">
        <v>320</v>
      </c>
      <c r="W43" s="43"/>
      <c r="X43" s="220"/>
      <c r="Y43" s="220"/>
      <c r="Z43" s="220"/>
      <c r="AA43" s="220"/>
      <c r="AB43" s="220"/>
      <c r="AC43" s="220"/>
      <c r="AD43" s="220"/>
      <c r="AE43" s="220"/>
      <c r="AF43" s="220"/>
      <c r="AG43" s="220"/>
      <c r="AH43" s="220"/>
      <c r="AI43" s="220"/>
      <c r="AJ43" s="220"/>
      <c r="AK43" s="104"/>
      <c r="AL43" s="104"/>
      <c r="AM43" s="104"/>
      <c r="AN43" s="104"/>
      <c r="AO43" s="104"/>
      <c r="AP43" s="104"/>
      <c r="AQ43" s="104"/>
      <c r="AR43" s="104"/>
      <c r="AS43" s="104"/>
      <c r="AT43" s="104"/>
      <c r="AU43" s="104"/>
      <c r="AV43" s="104"/>
      <c r="AW43" s="104"/>
      <c r="AX43" s="104"/>
      <c r="AY43" s="104"/>
      <c r="AZ43" s="104"/>
      <c r="BA43" s="104"/>
      <c r="BB43" s="104"/>
      <c r="BC43" s="104"/>
      <c r="BD43" s="104"/>
      <c r="BE43" s="104"/>
    </row>
    <row r="44" spans="2:57" s="30" customFormat="1" ht="15.6" customHeight="1" x14ac:dyDescent="0.2">
      <c r="B44" s="44" t="s">
        <v>461</v>
      </c>
      <c r="C44" s="471" t="s">
        <v>300</v>
      </c>
      <c r="D44" s="472"/>
      <c r="E44" s="472"/>
      <c r="F44" s="472"/>
      <c r="G44" s="473"/>
      <c r="J44" s="32" t="s">
        <v>424</v>
      </c>
      <c r="K44" s="92" t="str">
        <f>IF(ISNUMBER(L44),L44,IF(C44=Kalusto!$C$33,Kalusto!$E$33*1/IF(C45=Pudotusvalikot!$V$4,Muut!$F$45*(Muut!$F$15+Muut!$F$18),IF(C45=Pudotusvalikot!$V$5,Muut!$F$46*(Muut!$F$16+Muut!$F$19),IF(C45=Pudotusvalikot!$V$6,Muut!$F$47*(Muut!$F$17+Muut!$F$20),(Muut!$F$11+Muut!$F$13)))),IF(C44=Pudotusvalikot!$D$67,"--",VLOOKUP(C44,Kalusto!$C$5:$E$42,3,FALSE)*VLOOKUP(C45,Muut!$D$40:$E$43,2,FALSE))))</f>
        <v>--</v>
      </c>
      <c r="L44" s="39"/>
      <c r="M44" s="40" t="s">
        <v>189</v>
      </c>
      <c r="N44" s="40"/>
      <c r="O44" s="259"/>
      <c r="P44" s="58"/>
      <c r="Q44" s="34"/>
      <c r="R44" s="213" t="str">
        <f>IF(ISNUMBER(K44*V44),K44*V44,"")</f>
        <v/>
      </c>
      <c r="S44" s="226" t="s">
        <v>160</v>
      </c>
      <c r="T44" s="213" t="str">
        <f>IF(ISNUMBER(C46),C46,"")</f>
        <v/>
      </c>
      <c r="U44" s="219" t="str">
        <f>IF(D46="h","",IF(ISNUMBER(C46),C46,""))</f>
        <v/>
      </c>
      <c r="V44" s="213" t="str">
        <f>IF(ISNUMBER(T44),IF(D46="h",C46,IF(ISNUMBER(T44*U44),IF(D46="m3/h",T44/U44,T44*U44),"")),"")</f>
        <v/>
      </c>
      <c r="W44" s="220"/>
      <c r="X44" s="216"/>
      <c r="Y44" s="43"/>
      <c r="Z44" s="43"/>
      <c r="AA44" s="43"/>
      <c r="AB44" s="43"/>
      <c r="AC44" s="43"/>
      <c r="AD44" s="43"/>
      <c r="AE44" s="43"/>
      <c r="AF44" s="43"/>
      <c r="AG44" s="43"/>
      <c r="AH44" s="43"/>
      <c r="AI44" s="43"/>
      <c r="AJ44" s="43"/>
      <c r="AK44" s="35"/>
      <c r="AL44" s="35"/>
      <c r="AM44" s="35"/>
      <c r="AN44" s="36"/>
      <c r="AO44" s="36"/>
      <c r="AP44" s="36"/>
      <c r="AQ44" s="36"/>
      <c r="AR44" s="36"/>
      <c r="AS44" s="36"/>
      <c r="AT44" s="36"/>
      <c r="AU44" s="36"/>
      <c r="AV44" s="36"/>
      <c r="AW44" s="36"/>
      <c r="AX44" s="36"/>
      <c r="AY44" s="36"/>
      <c r="AZ44" s="36"/>
      <c r="BA44" s="36"/>
      <c r="BB44" s="36"/>
      <c r="BC44" s="36"/>
      <c r="BD44" s="36"/>
      <c r="BE44" s="36"/>
    </row>
    <row r="45" spans="2:57" s="30" customFormat="1" ht="15.6" customHeight="1" x14ac:dyDescent="0.2">
      <c r="B45" s="166" t="s">
        <v>460</v>
      </c>
      <c r="C45" s="156" t="s">
        <v>309</v>
      </c>
      <c r="D45" s="33"/>
      <c r="E45" s="33"/>
      <c r="F45" s="33"/>
      <c r="G45" s="33"/>
      <c r="J45" s="32"/>
      <c r="K45" s="32"/>
      <c r="L45" s="32"/>
      <c r="M45" s="32"/>
      <c r="N45" s="32"/>
      <c r="O45" s="265"/>
      <c r="P45" s="58"/>
      <c r="Q45" s="34"/>
      <c r="R45" s="216"/>
      <c r="S45" s="226"/>
      <c r="T45" s="216"/>
      <c r="U45" s="221"/>
      <c r="V45" s="216"/>
      <c r="W45" s="220"/>
      <c r="X45" s="216"/>
      <c r="Y45" s="43"/>
      <c r="Z45" s="43"/>
      <c r="AA45" s="43"/>
      <c r="AB45" s="43"/>
      <c r="AC45" s="43"/>
      <c r="AD45" s="43"/>
      <c r="AE45" s="43"/>
      <c r="AF45" s="43"/>
      <c r="AG45" s="43"/>
      <c r="AH45" s="43"/>
      <c r="AI45" s="43"/>
      <c r="AJ45" s="43"/>
      <c r="AK45" s="35"/>
      <c r="AL45" s="35"/>
      <c r="AM45" s="35"/>
      <c r="AN45" s="36"/>
      <c r="AO45" s="36"/>
      <c r="AP45" s="36"/>
      <c r="AQ45" s="36"/>
      <c r="AR45" s="36"/>
      <c r="AS45" s="36"/>
      <c r="AT45" s="36"/>
      <c r="AU45" s="36"/>
      <c r="AV45" s="36"/>
      <c r="AW45" s="36"/>
      <c r="AX45" s="36"/>
      <c r="AY45" s="36"/>
      <c r="AZ45" s="36"/>
      <c r="BA45" s="36"/>
      <c r="BB45" s="36"/>
      <c r="BC45" s="36"/>
      <c r="BD45" s="36"/>
      <c r="BE45" s="36"/>
    </row>
    <row r="46" spans="2:57" s="30" customFormat="1" ht="15" x14ac:dyDescent="0.2">
      <c r="B46" s="44" t="s">
        <v>357</v>
      </c>
      <c r="C46" s="155"/>
      <c r="D46" s="81" t="s">
        <v>51</v>
      </c>
      <c r="E46" s="33"/>
      <c r="F46" s="33"/>
      <c r="G46" s="33"/>
      <c r="J46" s="32"/>
      <c r="K46" s="37"/>
      <c r="L46" s="37"/>
      <c r="M46" s="81"/>
      <c r="N46" s="81"/>
      <c r="O46" s="96"/>
      <c r="P46" s="41"/>
      <c r="Q46" s="50"/>
      <c r="R46" s="234"/>
      <c r="S46" s="43"/>
      <c r="T46" s="43"/>
      <c r="U46" s="43"/>
      <c r="V46" s="43"/>
      <c r="W46" s="43"/>
      <c r="X46" s="43"/>
      <c r="Y46" s="43"/>
      <c r="Z46" s="43"/>
      <c r="AA46" s="43"/>
      <c r="AB46" s="43"/>
      <c r="AC46" s="43"/>
      <c r="AD46" s="43"/>
      <c r="AE46" s="43"/>
      <c r="AF46" s="43"/>
      <c r="AG46" s="43"/>
      <c r="AH46" s="43"/>
      <c r="AI46" s="43"/>
      <c r="AJ46" s="43"/>
      <c r="AK46" s="35"/>
      <c r="AL46" s="35"/>
      <c r="AM46" s="35"/>
      <c r="AN46" s="36"/>
      <c r="AO46" s="36"/>
      <c r="AP46" s="36"/>
      <c r="AQ46" s="36"/>
      <c r="AR46" s="36"/>
      <c r="AS46" s="36"/>
      <c r="AT46" s="36"/>
      <c r="AU46" s="36"/>
      <c r="AV46" s="36"/>
      <c r="AW46" s="36"/>
      <c r="AX46" s="36"/>
      <c r="AY46" s="36"/>
      <c r="AZ46" s="36"/>
      <c r="BA46" s="36"/>
      <c r="BB46" s="36"/>
      <c r="BC46" s="36"/>
      <c r="BD46" s="36"/>
      <c r="BE46" s="36"/>
    </row>
    <row r="47" spans="2:57" s="30" customFormat="1" ht="15" x14ac:dyDescent="0.2">
      <c r="B47" s="151" t="s">
        <v>356</v>
      </c>
      <c r="K47" s="37" t="s">
        <v>297</v>
      </c>
      <c r="L47" s="37" t="s">
        <v>185</v>
      </c>
      <c r="O47" s="253"/>
      <c r="Q47" s="129"/>
      <c r="R47" s="216" t="s">
        <v>318</v>
      </c>
      <c r="S47" s="220"/>
      <c r="T47" s="43" t="s">
        <v>246</v>
      </c>
      <c r="U47" s="43" t="s">
        <v>319</v>
      </c>
      <c r="V47" s="43" t="s">
        <v>320</v>
      </c>
      <c r="W47" s="43"/>
      <c r="X47" s="220"/>
      <c r="Y47" s="220"/>
      <c r="Z47" s="220"/>
      <c r="AA47" s="220"/>
      <c r="AB47" s="220"/>
      <c r="AC47" s="220"/>
      <c r="AD47" s="220"/>
      <c r="AE47" s="220"/>
      <c r="AF47" s="220"/>
      <c r="AG47" s="220"/>
      <c r="AH47" s="220"/>
      <c r="AI47" s="220"/>
      <c r="AJ47" s="220"/>
      <c r="AK47" s="104"/>
      <c r="AL47" s="104"/>
      <c r="AM47" s="104"/>
      <c r="AN47" s="104"/>
      <c r="AO47" s="104"/>
      <c r="AP47" s="104"/>
      <c r="AQ47" s="104"/>
      <c r="AR47" s="104"/>
      <c r="AS47" s="104"/>
      <c r="AT47" s="104"/>
      <c r="AU47" s="104"/>
      <c r="AV47" s="104"/>
      <c r="AW47" s="104"/>
      <c r="AX47" s="104"/>
      <c r="AY47" s="104"/>
      <c r="AZ47" s="104"/>
      <c r="BA47" s="104"/>
      <c r="BB47" s="104"/>
      <c r="BC47" s="104"/>
      <c r="BD47" s="104"/>
      <c r="BE47" s="104"/>
    </row>
    <row r="48" spans="2:57" s="30" customFormat="1" ht="15" x14ac:dyDescent="0.2">
      <c r="B48" s="44" t="s">
        <v>461</v>
      </c>
      <c r="C48" s="471" t="s">
        <v>300</v>
      </c>
      <c r="D48" s="472"/>
      <c r="E48" s="472"/>
      <c r="F48" s="472"/>
      <c r="G48" s="473"/>
      <c r="J48" s="32" t="s">
        <v>424</v>
      </c>
      <c r="K48" s="92" t="str">
        <f>IF(ISNUMBER(L48),L48,IF(C48=Kalusto!$C$33,Kalusto!$E$33*1/IF(C49=Pudotusvalikot!$V$4,Muut!$F$45*(Muut!$F$15+Muut!$F$18),IF(C49=Pudotusvalikot!$V$5,Muut!$F$46*(Muut!$F$16+Muut!$F$19),IF(C49=Pudotusvalikot!$V$6,Muut!$F$47*(Muut!$F$17+Muut!$F$20),(Muut!$F$11+Muut!$F$13)))),IF(C48=Pudotusvalikot!$D$67,"--",VLOOKUP(C48,Kalusto!$C$5:$E$42,3,FALSE)*VLOOKUP(C49,Muut!$D$40:$E$43,2,FALSE))))</f>
        <v>--</v>
      </c>
      <c r="L48" s="39"/>
      <c r="M48" s="40" t="s">
        <v>189</v>
      </c>
      <c r="N48" s="40"/>
      <c r="O48" s="259"/>
      <c r="P48" s="58"/>
      <c r="Q48" s="34"/>
      <c r="R48" s="213" t="str">
        <f>IF(ISNUMBER(K48*V48),K48*V48,"")</f>
        <v/>
      </c>
      <c r="S48" s="226" t="s">
        <v>160</v>
      </c>
      <c r="T48" s="213" t="str">
        <f>IF(ISNUMBER(C50),C50,"")</f>
        <v/>
      </c>
      <c r="U48" s="219" t="str">
        <f>IF(D50="h","",IF(ISNUMBER(C50),C50,""))</f>
        <v/>
      </c>
      <c r="V48" s="213" t="str">
        <f>IF(ISNUMBER(T48),IF(D50="h",C50,IF(ISNUMBER(T48*U48),IF(D50="m3/h",T48/U48,T48*U48),"")),"")</f>
        <v/>
      </c>
      <c r="W48" s="220"/>
      <c r="X48" s="216"/>
      <c r="Y48" s="43"/>
      <c r="Z48" s="43"/>
      <c r="AA48" s="43"/>
      <c r="AB48" s="43"/>
      <c r="AC48" s="43"/>
      <c r="AD48" s="43"/>
      <c r="AE48" s="43"/>
      <c r="AF48" s="43"/>
      <c r="AG48" s="43"/>
      <c r="AH48" s="43"/>
      <c r="AI48" s="43"/>
      <c r="AJ48" s="43"/>
      <c r="AK48" s="35"/>
      <c r="AL48" s="35"/>
      <c r="AM48" s="35"/>
      <c r="AN48" s="36"/>
      <c r="AO48" s="36"/>
      <c r="AP48" s="36"/>
      <c r="AQ48" s="36"/>
      <c r="AR48" s="36"/>
      <c r="AS48" s="36"/>
      <c r="AT48" s="36"/>
      <c r="AU48" s="36"/>
      <c r="AV48" s="36"/>
      <c r="AW48" s="36"/>
      <c r="AX48" s="36"/>
      <c r="AY48" s="36"/>
      <c r="AZ48" s="36"/>
      <c r="BA48" s="36"/>
      <c r="BB48" s="36"/>
      <c r="BC48" s="36"/>
      <c r="BD48" s="36"/>
      <c r="BE48" s="36"/>
    </row>
    <row r="49" spans="2:59" s="30" customFormat="1" ht="15" x14ac:dyDescent="0.2">
      <c r="B49" s="166" t="s">
        <v>460</v>
      </c>
      <c r="C49" s="156" t="s">
        <v>309</v>
      </c>
      <c r="D49" s="33"/>
      <c r="E49" s="33"/>
      <c r="F49" s="33"/>
      <c r="G49" s="33"/>
      <c r="J49" s="32"/>
      <c r="K49" s="32"/>
      <c r="L49" s="32"/>
      <c r="M49" s="32"/>
      <c r="N49" s="32"/>
      <c r="O49" s="265"/>
      <c r="P49" s="58"/>
      <c r="Q49" s="34"/>
      <c r="R49" s="216"/>
      <c r="S49" s="226"/>
      <c r="T49" s="216"/>
      <c r="U49" s="221"/>
      <c r="V49" s="216"/>
      <c r="W49" s="220"/>
      <c r="X49" s="216"/>
      <c r="Y49" s="43"/>
      <c r="Z49" s="43"/>
      <c r="AA49" s="43"/>
      <c r="AB49" s="43"/>
      <c r="AC49" s="43"/>
      <c r="AD49" s="43"/>
      <c r="AE49" s="43"/>
      <c r="AF49" s="43"/>
      <c r="AG49" s="43"/>
      <c r="AH49" s="43"/>
      <c r="AI49" s="43"/>
      <c r="AJ49" s="43"/>
      <c r="AK49" s="35"/>
      <c r="AL49" s="35"/>
      <c r="AM49" s="35"/>
      <c r="AN49" s="36"/>
      <c r="AO49" s="36"/>
      <c r="AP49" s="36"/>
      <c r="AQ49" s="36"/>
      <c r="AR49" s="36"/>
      <c r="AS49" s="36"/>
      <c r="AT49" s="36"/>
      <c r="AU49" s="36"/>
      <c r="AV49" s="36"/>
      <c r="AW49" s="36"/>
      <c r="AX49" s="36"/>
      <c r="AY49" s="36"/>
      <c r="AZ49" s="36"/>
      <c r="BA49" s="36"/>
      <c r="BB49" s="36"/>
      <c r="BC49" s="36"/>
      <c r="BD49" s="36"/>
      <c r="BE49" s="36"/>
    </row>
    <row r="50" spans="2:59" s="30" customFormat="1" ht="15" x14ac:dyDescent="0.2">
      <c r="B50" s="44" t="s">
        <v>357</v>
      </c>
      <c r="C50" s="155"/>
      <c r="D50" s="81" t="s">
        <v>51</v>
      </c>
      <c r="E50" s="33"/>
      <c r="F50" s="33"/>
      <c r="G50" s="33"/>
      <c r="J50" s="32"/>
      <c r="K50" s="33"/>
      <c r="L50" s="33"/>
      <c r="M50" s="81"/>
      <c r="N50" s="81"/>
      <c r="O50" s="96"/>
      <c r="P50" s="41"/>
      <c r="Q50" s="50"/>
      <c r="R50" s="234"/>
      <c r="S50" s="43"/>
      <c r="T50" s="43"/>
      <c r="U50" s="43"/>
      <c r="V50" s="43"/>
      <c r="W50" s="43"/>
      <c r="X50" s="43"/>
      <c r="Y50" s="43"/>
      <c r="Z50" s="43"/>
      <c r="AA50" s="43"/>
      <c r="AB50" s="43"/>
      <c r="AC50" s="43"/>
      <c r="AD50" s="43"/>
      <c r="AE50" s="43"/>
      <c r="AF50" s="43"/>
      <c r="AG50" s="43"/>
      <c r="AH50" s="43"/>
      <c r="AI50" s="43"/>
      <c r="AJ50" s="43"/>
      <c r="AK50" s="35"/>
      <c r="AL50" s="35"/>
      <c r="AM50" s="35"/>
      <c r="AN50" s="36"/>
      <c r="AO50" s="36"/>
      <c r="AP50" s="36"/>
      <c r="AQ50" s="36"/>
      <c r="AR50" s="36"/>
      <c r="AS50" s="36"/>
      <c r="AT50" s="36"/>
      <c r="AU50" s="36"/>
      <c r="AV50" s="36"/>
      <c r="AW50" s="36"/>
      <c r="AX50" s="36"/>
      <c r="AY50" s="36"/>
      <c r="AZ50" s="36"/>
      <c r="BA50" s="36"/>
      <c r="BB50" s="36"/>
      <c r="BC50" s="36"/>
      <c r="BD50" s="36"/>
      <c r="BE50" s="36"/>
    </row>
    <row r="51" spans="2:59" s="30" customFormat="1" ht="15" x14ac:dyDescent="0.2">
      <c r="C51" s="78"/>
      <c r="D51" s="81"/>
      <c r="G51" s="33"/>
      <c r="H51" s="81"/>
      <c r="J51" s="32"/>
      <c r="K51" s="33"/>
      <c r="L51" s="33"/>
      <c r="M51" s="81"/>
      <c r="N51" s="81"/>
      <c r="O51" s="81"/>
      <c r="Q51" s="34"/>
      <c r="R51" s="234"/>
      <c r="S51" s="43"/>
      <c r="T51" s="43"/>
      <c r="U51" s="43"/>
      <c r="V51" s="43"/>
      <c r="W51" s="43"/>
      <c r="X51" s="43"/>
      <c r="Y51" s="43"/>
      <c r="Z51" s="43"/>
      <c r="AA51" s="43"/>
      <c r="AB51" s="43"/>
      <c r="AC51" s="43"/>
      <c r="AD51" s="43"/>
      <c r="AE51" s="43"/>
      <c r="AF51" s="43"/>
      <c r="AG51" s="43"/>
      <c r="AH51" s="43"/>
      <c r="AI51" s="43"/>
      <c r="AJ51" s="43"/>
      <c r="AK51" s="35"/>
      <c r="AL51" s="35"/>
      <c r="AM51" s="35"/>
      <c r="AN51" s="36"/>
      <c r="AO51" s="36"/>
      <c r="AP51" s="36"/>
      <c r="AQ51" s="36"/>
      <c r="AR51" s="36"/>
      <c r="AS51" s="36"/>
      <c r="AT51" s="36"/>
      <c r="AU51" s="36"/>
      <c r="AV51" s="36"/>
      <c r="AW51" s="36"/>
      <c r="AX51" s="36"/>
      <c r="AY51" s="36"/>
      <c r="AZ51" s="36"/>
      <c r="BA51" s="36"/>
      <c r="BB51" s="36"/>
      <c r="BC51" s="36"/>
      <c r="BD51" s="36"/>
      <c r="BE51" s="36"/>
    </row>
    <row r="52" spans="2:59" s="289" customFormat="1" ht="18" x14ac:dyDescent="0.2">
      <c r="B52" s="286" t="s">
        <v>539</v>
      </c>
      <c r="C52" s="287"/>
      <c r="D52" s="288"/>
      <c r="G52" s="287"/>
      <c r="H52" s="288"/>
      <c r="K52" s="287"/>
      <c r="L52" s="287"/>
      <c r="M52" s="288"/>
      <c r="N52" s="288"/>
      <c r="O52" s="291"/>
      <c r="P52" s="311"/>
      <c r="Q52" s="295"/>
      <c r="S52" s="294"/>
      <c r="T52" s="294"/>
      <c r="U52" s="294"/>
      <c r="V52" s="294"/>
      <c r="W52" s="294"/>
      <c r="X52" s="294"/>
      <c r="Y52" s="294"/>
      <c r="Z52" s="294"/>
      <c r="AA52" s="294"/>
      <c r="AB52" s="294"/>
      <c r="AC52" s="294"/>
      <c r="AD52" s="294"/>
      <c r="AE52" s="294"/>
      <c r="AF52" s="294"/>
      <c r="AG52" s="294"/>
      <c r="AH52" s="294"/>
      <c r="AI52" s="294"/>
      <c r="AJ52" s="294"/>
      <c r="AK52" s="294"/>
      <c r="AL52" s="294"/>
      <c r="AM52" s="294"/>
      <c r="AN52" s="295"/>
      <c r="AO52" s="295"/>
      <c r="AP52" s="295"/>
      <c r="AQ52" s="295"/>
      <c r="AR52" s="295"/>
      <c r="AS52" s="295"/>
      <c r="AT52" s="295"/>
      <c r="AU52" s="295"/>
      <c r="AV52" s="295"/>
      <c r="AW52" s="295"/>
      <c r="AX52" s="295"/>
      <c r="AY52" s="295"/>
      <c r="AZ52" s="295"/>
      <c r="BA52" s="295"/>
      <c r="BB52" s="295"/>
      <c r="BC52" s="295"/>
      <c r="BD52" s="295"/>
      <c r="BE52" s="295"/>
    </row>
    <row r="53" spans="2:59" s="30" customFormat="1" ht="15" x14ac:dyDescent="0.2">
      <c r="B53" s="30" t="s">
        <v>736</v>
      </c>
      <c r="C53" s="33"/>
      <c r="D53" s="81"/>
      <c r="E53" s="33"/>
      <c r="F53" s="33"/>
      <c r="G53" s="37"/>
      <c r="H53" s="81"/>
      <c r="J53" s="32"/>
      <c r="K53" s="37"/>
      <c r="L53" s="37"/>
      <c r="M53" s="83"/>
      <c r="N53" s="83"/>
      <c r="O53" s="249"/>
      <c r="P53" s="37"/>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4"/>
      <c r="AQ53" s="54"/>
      <c r="AR53" s="54"/>
      <c r="AS53" s="54"/>
      <c r="AT53" s="54"/>
      <c r="AU53" s="54"/>
      <c r="AV53" s="54"/>
      <c r="AW53" s="54"/>
      <c r="AX53" s="54"/>
      <c r="AY53" s="54"/>
      <c r="AZ53" s="54"/>
      <c r="BA53" s="54"/>
      <c r="BB53" s="54"/>
      <c r="BC53" s="54"/>
      <c r="BD53" s="54"/>
      <c r="BE53" s="54"/>
      <c r="BF53" s="54"/>
      <c r="BG53" s="54"/>
    </row>
    <row r="54" spans="2:59" s="30" customFormat="1" ht="15.75" x14ac:dyDescent="0.2">
      <c r="B54" s="8"/>
      <c r="C54" s="33"/>
      <c r="D54" s="81"/>
      <c r="E54" s="33"/>
      <c r="F54" s="33"/>
      <c r="G54" s="37"/>
      <c r="H54" s="81"/>
      <c r="J54" s="32"/>
      <c r="K54" s="37"/>
      <c r="L54" s="37"/>
      <c r="M54" s="83"/>
      <c r="N54" s="83"/>
      <c r="O54" s="83"/>
      <c r="P54" s="37"/>
      <c r="Q54" s="34"/>
      <c r="R54" s="102"/>
      <c r="S54" s="43"/>
      <c r="T54" s="43"/>
      <c r="U54" s="43"/>
      <c r="V54" s="43"/>
      <c r="W54" s="43"/>
      <c r="X54" s="43"/>
      <c r="Y54" s="43"/>
      <c r="Z54" s="43"/>
      <c r="AA54" s="43"/>
      <c r="AB54" s="43"/>
      <c r="AC54" s="43"/>
      <c r="AD54" s="43"/>
      <c r="AE54" s="43"/>
      <c r="AF54" s="43"/>
      <c r="AG54" s="43"/>
      <c r="AH54" s="43"/>
      <c r="AI54" s="43"/>
      <c r="AJ54" s="43"/>
      <c r="AK54" s="35"/>
      <c r="AL54" s="35"/>
      <c r="AM54" s="35"/>
      <c r="AN54" s="36"/>
      <c r="AO54" s="36"/>
      <c r="AP54" s="36"/>
      <c r="AQ54" s="36"/>
      <c r="AR54" s="36"/>
      <c r="AS54" s="36"/>
      <c r="AT54" s="36"/>
      <c r="AU54" s="36"/>
      <c r="AV54" s="36"/>
      <c r="AW54" s="36"/>
      <c r="AX54" s="36"/>
      <c r="AY54" s="36"/>
      <c r="AZ54" s="36"/>
      <c r="BA54" s="36"/>
      <c r="BB54" s="36"/>
      <c r="BC54" s="36"/>
      <c r="BD54" s="36"/>
      <c r="BE54" s="36"/>
    </row>
    <row r="55" spans="2:59" s="30" customFormat="1" ht="15" x14ac:dyDescent="0.2">
      <c r="B55" s="151" t="s">
        <v>411</v>
      </c>
      <c r="C55" s="33" t="s">
        <v>50</v>
      </c>
      <c r="D55" s="81"/>
      <c r="E55" s="33"/>
      <c r="F55" s="33"/>
      <c r="G55" s="37" t="s">
        <v>183</v>
      </c>
      <c r="H55" s="81"/>
      <c r="J55" s="32"/>
      <c r="K55" s="37" t="s">
        <v>297</v>
      </c>
      <c r="L55" s="37" t="s">
        <v>185</v>
      </c>
      <c r="M55" s="83"/>
      <c r="N55" s="83"/>
      <c r="O55" s="249" t="s">
        <v>584</v>
      </c>
      <c r="P55" s="37"/>
      <c r="Q55" s="34"/>
      <c r="R55" s="216" t="s">
        <v>318</v>
      </c>
      <c r="S55" s="43"/>
      <c r="T55" s="43" t="s">
        <v>400</v>
      </c>
      <c r="U55" s="43" t="s">
        <v>399</v>
      </c>
      <c r="V55" s="43" t="s">
        <v>397</v>
      </c>
      <c r="W55" s="43" t="s">
        <v>398</v>
      </c>
      <c r="X55" s="43" t="s">
        <v>401</v>
      </c>
      <c r="Y55" s="43" t="s">
        <v>403</v>
      </c>
      <c r="Z55" s="43" t="s">
        <v>402</v>
      </c>
      <c r="AA55" s="43" t="s">
        <v>186</v>
      </c>
      <c r="AB55" s="43" t="s">
        <v>345</v>
      </c>
      <c r="AC55" s="43" t="s">
        <v>404</v>
      </c>
      <c r="AD55" s="43" t="s">
        <v>346</v>
      </c>
      <c r="AE55" s="43" t="s">
        <v>405</v>
      </c>
      <c r="AF55" s="43" t="s">
        <v>406</v>
      </c>
      <c r="AG55" s="43" t="s">
        <v>578</v>
      </c>
      <c r="AH55" s="43" t="s">
        <v>190</v>
      </c>
      <c r="AI55" s="43" t="s">
        <v>249</v>
      </c>
      <c r="AJ55" s="43" t="s">
        <v>191</v>
      </c>
      <c r="AK55" s="104"/>
      <c r="AL55" s="35"/>
      <c r="AM55" s="35"/>
      <c r="AN55" s="36"/>
      <c r="AO55" s="36"/>
      <c r="AP55" s="36"/>
      <c r="AQ55" s="36"/>
      <c r="AR55" s="36"/>
      <c r="AS55" s="36"/>
      <c r="AT55" s="36"/>
      <c r="AU55" s="36"/>
      <c r="AV55" s="36"/>
      <c r="AW55" s="36"/>
      <c r="AX55" s="36"/>
      <c r="AY55" s="36"/>
      <c r="AZ55" s="36"/>
      <c r="BA55" s="36"/>
      <c r="BB55" s="36"/>
      <c r="BC55" s="36"/>
      <c r="BD55" s="36"/>
      <c r="BE55" s="36"/>
    </row>
    <row r="56" spans="2:59" s="30" customFormat="1" ht="30" x14ac:dyDescent="0.2">
      <c r="B56" s="166" t="s">
        <v>464</v>
      </c>
      <c r="C56" s="156"/>
      <c r="D56" s="86" t="s">
        <v>163</v>
      </c>
      <c r="E56" s="172"/>
      <c r="F56" s="55"/>
      <c r="G56" s="157"/>
      <c r="H56" s="81" t="str">
        <f>IF(D56="t","t/t","t/m3")</f>
        <v>t/m3</v>
      </c>
      <c r="I56" s="166"/>
      <c r="J56" s="169" t="s">
        <v>395</v>
      </c>
      <c r="K56" s="92" t="str">
        <f>IFERROR(IF(ISNUMBER(L56),L56,(VLOOKUP(C57,Kalusto!$C$45:$G$84,5,FALSE)*VLOOKUP(C58,Muut!$D$40:$E$43,2,FALSE))),"--")</f>
        <v>--</v>
      </c>
      <c r="L56" s="39"/>
      <c r="M56" s="40" t="s">
        <v>184</v>
      </c>
      <c r="N56" s="40"/>
      <c r="O56" s="250"/>
      <c r="Q56" s="45"/>
      <c r="R56" s="213" t="str">
        <f>IF(AND(NOT(ISNUMBER(AB56)),NOT(ISNUMBER(AG56))),"",IF(ISNUMBER(AB56),AB56,0)+IF(ISNUMBER(AG56),AG56,0))</f>
        <v/>
      </c>
      <c r="S56" s="226" t="s">
        <v>160</v>
      </c>
      <c r="T56" s="211" t="str">
        <f>IFERROR(IF(ISNUMBER(L56),"Kohdetieto",VLOOKUP(C57,Kalusto!$C$45:$L$84,7,FALSE)),"--")</f>
        <v>--</v>
      </c>
      <c r="U56" s="211" t="str">
        <f>IFERROR(IF(ISNUMBER(L56),"Kohdetieto",VLOOKUP(C57,Kalusto!$C$45:$L$84,8,FALSE)),"--")</f>
        <v>--</v>
      </c>
      <c r="V56" s="212" t="str">
        <f>IFERROR(IF(ISNUMBER(L56),"Kohdetieto",VLOOKUP(C57,Kalusto!$C$45:$L$84,9,FALSE)),"--")</f>
        <v>--</v>
      </c>
      <c r="W56" s="212" t="str">
        <f>IFERROR(IF(ISNUMBER(L56),"Kohdetieto",VLOOKUP(C57,Kalusto!$C$45:$L$84,10,FALSE)),"--")</f>
        <v>--</v>
      </c>
      <c r="X56" s="213" t="str">
        <f>IF(ISBLANK(C56),"",IF(D56="t",C56,C56*G56))</f>
        <v/>
      </c>
      <c r="Y56" s="211" t="str">
        <f>IF(ISNUMBER(C59),C59,"")</f>
        <v/>
      </c>
      <c r="Z56" s="213" t="str">
        <f>IF(ISNUMBER(X56/(U56*V56)*Y56),X56/(U56*V56)*Y56,"")</f>
        <v/>
      </c>
      <c r="AA56" s="214" t="str">
        <f>IF(ISNUMBER(L56),L56,K56)</f>
        <v>--</v>
      </c>
      <c r="AB56" s="213" t="str">
        <f>IF(ISNUMBER(Y56*X56*K56),Y56*X56*K56,"")</f>
        <v/>
      </c>
      <c r="AC56" s="213" t="str">
        <f>IF(C81="Kyllä",Y56,"")</f>
        <v/>
      </c>
      <c r="AD56" s="213" t="str">
        <f>IF(C81="Kyllä",IF(ISNUMBER(X56/(U56*V56)),X56/(U56*V56),""),"")</f>
        <v/>
      </c>
      <c r="AE56" s="213" t="str">
        <f>IF(ISNUMBER(AD56*AC56),AD56*AC56,"")</f>
        <v/>
      </c>
      <c r="AF56" s="214" t="str">
        <f>IF(ISNUMBER(L57),L57,K57)</f>
        <v>--</v>
      </c>
      <c r="AG56" s="213" t="str">
        <f>IF(ISNUMBER(AC56*AD56*K57),AC56*AD56*K57,"")</f>
        <v/>
      </c>
      <c r="AH56" s="211">
        <f>IF(T56="Jakelukuorma-auto",0,IF(T56="Maansiirtoauto",4,IF(T56="Puoliperävaunu",6,8)))</f>
        <v>8</v>
      </c>
      <c r="AI56" s="211">
        <f>IF(AND(T56="Jakelukuorma-auto",U56=6),0,IF(AND(T56="Jakelukuorma-auto",U56=15),2,0))</f>
        <v>0</v>
      </c>
      <c r="AJ56" s="211">
        <f>IF(W56="maantieajo",0,1)</f>
        <v>1</v>
      </c>
      <c r="AK56" s="104"/>
      <c r="AL56" s="35"/>
      <c r="AM56" s="35"/>
      <c r="AN56" s="36"/>
      <c r="AO56" s="36"/>
      <c r="AP56" s="36"/>
      <c r="AQ56" s="36"/>
      <c r="AR56" s="36"/>
      <c r="AS56" s="36"/>
      <c r="AT56" s="36"/>
      <c r="AU56" s="36"/>
      <c r="AV56" s="36"/>
      <c r="AW56" s="36"/>
      <c r="AX56" s="36"/>
      <c r="AY56" s="36"/>
      <c r="AZ56" s="36"/>
      <c r="BA56" s="36"/>
      <c r="BB56" s="36"/>
      <c r="BC56" s="36"/>
      <c r="BD56" s="36"/>
      <c r="BE56" s="36"/>
    </row>
    <row r="57" spans="2:59" s="30" customFormat="1" ht="30" x14ac:dyDescent="0.2">
      <c r="B57" s="166" t="s">
        <v>463</v>
      </c>
      <c r="C57" s="471" t="s">
        <v>298</v>
      </c>
      <c r="D57" s="472"/>
      <c r="E57" s="472"/>
      <c r="F57" s="472"/>
      <c r="G57" s="473"/>
      <c r="H57" s="52"/>
      <c r="J57" s="32" t="s">
        <v>396</v>
      </c>
      <c r="K57" s="92" t="str">
        <f>IFERROR(IF(ISNUMBER(L57),L57,IF($C$81="Ei","",(VLOOKUP(C57,Kalusto!$C$45:$V$84,19,FALSE)*(VLOOKUP(C58,Muut!$D$40:$E$43,2,FALSE))))),"--")</f>
        <v>--</v>
      </c>
      <c r="L57" s="39"/>
      <c r="M57" s="40" t="s">
        <v>188</v>
      </c>
      <c r="N57" s="40"/>
      <c r="O57" s="259"/>
      <c r="P57" s="33"/>
      <c r="Q57" s="50"/>
      <c r="R57" s="43"/>
      <c r="S57" s="43"/>
      <c r="T57" s="43"/>
      <c r="U57" s="43"/>
      <c r="V57" s="43"/>
      <c r="W57" s="43"/>
      <c r="X57" s="43"/>
      <c r="Y57" s="43"/>
      <c r="Z57" s="43"/>
      <c r="AA57" s="43"/>
      <c r="AB57" s="43"/>
      <c r="AC57" s="43"/>
      <c r="AD57" s="43"/>
      <c r="AE57" s="43"/>
      <c r="AF57" s="43"/>
      <c r="AG57" s="43"/>
      <c r="AH57" s="43"/>
      <c r="AI57" s="43"/>
      <c r="AJ57" s="43"/>
      <c r="AK57" s="104"/>
      <c r="AL57" s="35"/>
      <c r="AM57" s="35"/>
      <c r="AN57" s="36"/>
      <c r="AO57" s="36"/>
      <c r="AP57" s="36"/>
      <c r="AQ57" s="36"/>
      <c r="AR57" s="36"/>
      <c r="AS57" s="36"/>
      <c r="AT57" s="36"/>
      <c r="AU57" s="36"/>
      <c r="AV57" s="36"/>
      <c r="AW57" s="36"/>
      <c r="AX57" s="36"/>
      <c r="AY57" s="36"/>
      <c r="AZ57" s="36"/>
      <c r="BA57" s="36"/>
      <c r="BB57" s="36"/>
      <c r="BC57" s="36"/>
      <c r="BD57" s="36"/>
      <c r="BE57" s="36"/>
    </row>
    <row r="58" spans="2:59" s="30" customFormat="1" ht="15" x14ac:dyDescent="0.2">
      <c r="B58" s="182" t="s">
        <v>457</v>
      </c>
      <c r="C58" s="156" t="s">
        <v>309</v>
      </c>
      <c r="D58" s="33"/>
      <c r="E58" s="33"/>
      <c r="F58" s="33"/>
      <c r="G58" s="33"/>
      <c r="H58" s="57"/>
      <c r="J58" s="169"/>
      <c r="K58" s="169"/>
      <c r="L58" s="169"/>
      <c r="M58" s="40"/>
      <c r="N58" s="40"/>
      <c r="O58" s="259"/>
      <c r="Q58" s="45"/>
      <c r="R58" s="226"/>
      <c r="S58" s="226"/>
      <c r="T58" s="43"/>
      <c r="U58" s="43"/>
      <c r="V58" s="215"/>
      <c r="W58" s="215"/>
      <c r="X58" s="216"/>
      <c r="Y58" s="43"/>
      <c r="Z58" s="216"/>
      <c r="AA58" s="217"/>
      <c r="AB58" s="216"/>
      <c r="AC58" s="216"/>
      <c r="AD58" s="216"/>
      <c r="AE58" s="216"/>
      <c r="AF58" s="217"/>
      <c r="AG58" s="216"/>
      <c r="AH58" s="43"/>
      <c r="AI58" s="43"/>
      <c r="AJ58" s="43"/>
      <c r="AK58" s="104"/>
      <c r="AL58" s="35"/>
      <c r="AM58" s="35"/>
      <c r="AN58" s="36"/>
      <c r="AO58" s="36"/>
      <c r="AP58" s="36"/>
      <c r="AQ58" s="36"/>
      <c r="AR58" s="36"/>
      <c r="AS58" s="36"/>
      <c r="AT58" s="36"/>
      <c r="AU58" s="36"/>
      <c r="AV58" s="36"/>
      <c r="AW58" s="36"/>
      <c r="AX58" s="36"/>
      <c r="AY58" s="36"/>
      <c r="AZ58" s="36"/>
      <c r="BA58" s="36"/>
      <c r="BB58" s="36"/>
      <c r="BC58" s="36"/>
      <c r="BD58" s="36"/>
      <c r="BE58" s="36"/>
    </row>
    <row r="59" spans="2:59" s="30" customFormat="1" ht="15" x14ac:dyDescent="0.2">
      <c r="B59" s="44" t="s">
        <v>465</v>
      </c>
      <c r="C59" s="156"/>
      <c r="D59" s="81" t="s">
        <v>5</v>
      </c>
      <c r="G59" s="33"/>
      <c r="H59" s="52"/>
      <c r="J59" s="51"/>
      <c r="K59" s="33"/>
      <c r="L59" s="33"/>
      <c r="M59" s="81"/>
      <c r="N59" s="81"/>
      <c r="O59" s="96"/>
      <c r="P59" s="51"/>
      <c r="Q59" s="50"/>
      <c r="R59" s="43"/>
      <c r="S59" s="43"/>
      <c r="T59" s="43"/>
      <c r="U59" s="43"/>
      <c r="V59" s="43"/>
      <c r="W59" s="43"/>
      <c r="X59" s="43"/>
      <c r="Y59" s="43"/>
      <c r="Z59" s="43"/>
      <c r="AA59" s="43"/>
      <c r="AB59" s="43"/>
      <c r="AC59" s="43"/>
      <c r="AD59" s="43"/>
      <c r="AE59" s="43"/>
      <c r="AF59" s="43"/>
      <c r="AG59" s="43"/>
      <c r="AH59" s="43"/>
      <c r="AI59" s="43"/>
      <c r="AJ59" s="43"/>
      <c r="AK59" s="104"/>
      <c r="AL59" s="35"/>
      <c r="AM59" s="35"/>
      <c r="AN59" s="36"/>
      <c r="AO59" s="36"/>
      <c r="AP59" s="36"/>
      <c r="AQ59" s="36"/>
      <c r="AR59" s="36"/>
      <c r="AS59" s="36"/>
      <c r="AT59" s="36"/>
      <c r="AU59" s="36"/>
      <c r="AV59" s="36"/>
      <c r="AW59" s="36"/>
      <c r="AX59" s="36"/>
      <c r="AY59" s="36"/>
      <c r="AZ59" s="36"/>
      <c r="BA59" s="36"/>
      <c r="BB59" s="36"/>
      <c r="BC59" s="36"/>
      <c r="BD59" s="36"/>
      <c r="BE59" s="36"/>
    </row>
    <row r="60" spans="2:59" s="30" customFormat="1" ht="15" x14ac:dyDescent="0.2">
      <c r="B60" s="151" t="s">
        <v>412</v>
      </c>
      <c r="C60" s="33"/>
      <c r="D60" s="81"/>
      <c r="G60" s="33"/>
      <c r="H60" s="81"/>
      <c r="J60" s="32"/>
      <c r="K60" s="37" t="s">
        <v>297</v>
      </c>
      <c r="L60" s="37" t="s">
        <v>185</v>
      </c>
      <c r="M60" s="81"/>
      <c r="N60" s="81"/>
      <c r="O60" s="96"/>
      <c r="P60" s="33"/>
      <c r="Q60" s="34"/>
      <c r="R60" s="216" t="s">
        <v>318</v>
      </c>
      <c r="S60" s="43"/>
      <c r="T60" s="43" t="s">
        <v>400</v>
      </c>
      <c r="U60" s="43" t="s">
        <v>399</v>
      </c>
      <c r="V60" s="43" t="s">
        <v>397</v>
      </c>
      <c r="W60" s="43" t="s">
        <v>398</v>
      </c>
      <c r="X60" s="43" t="s">
        <v>401</v>
      </c>
      <c r="Y60" s="43" t="s">
        <v>403</v>
      </c>
      <c r="Z60" s="43" t="s">
        <v>402</v>
      </c>
      <c r="AA60" s="43" t="s">
        <v>186</v>
      </c>
      <c r="AB60" s="43" t="s">
        <v>345</v>
      </c>
      <c r="AC60" s="43" t="s">
        <v>404</v>
      </c>
      <c r="AD60" s="43" t="s">
        <v>346</v>
      </c>
      <c r="AE60" s="43" t="s">
        <v>405</v>
      </c>
      <c r="AF60" s="43" t="s">
        <v>406</v>
      </c>
      <c r="AG60" s="43" t="s">
        <v>578</v>
      </c>
      <c r="AH60" s="43" t="s">
        <v>190</v>
      </c>
      <c r="AI60" s="43" t="s">
        <v>249</v>
      </c>
      <c r="AJ60" s="43" t="s">
        <v>191</v>
      </c>
      <c r="AK60" s="104"/>
      <c r="AL60" s="35"/>
      <c r="AM60" s="35"/>
      <c r="AN60" s="36"/>
      <c r="AO60" s="36"/>
      <c r="AP60" s="36"/>
      <c r="AQ60" s="36"/>
      <c r="AR60" s="36"/>
      <c r="AS60" s="36"/>
      <c r="AT60" s="36"/>
      <c r="AU60" s="36"/>
      <c r="AV60" s="36"/>
      <c r="AW60" s="36"/>
      <c r="AX60" s="36"/>
      <c r="AY60" s="36"/>
      <c r="AZ60" s="36"/>
      <c r="BA60" s="36"/>
      <c r="BB60" s="36"/>
      <c r="BC60" s="36"/>
      <c r="BD60" s="36"/>
      <c r="BE60" s="36"/>
    </row>
    <row r="61" spans="2:59" s="30" customFormat="1" ht="30" x14ac:dyDescent="0.2">
      <c r="B61" s="166" t="s">
        <v>464</v>
      </c>
      <c r="C61" s="157"/>
      <c r="D61" s="86" t="s">
        <v>390</v>
      </c>
      <c r="E61" s="172"/>
      <c r="F61" s="55"/>
      <c r="G61" s="157"/>
      <c r="H61" s="81" t="str">
        <f>IF(D61="t","t/t","t/m3")</f>
        <v>t/m3</v>
      </c>
      <c r="J61" s="169" t="s">
        <v>395</v>
      </c>
      <c r="K61" s="92" t="str">
        <f>IFERROR(IF(ISNUMBER(L61),L61,(VLOOKUP(C62,Kalusto!$C$45:$G$84,5,FALSE)*VLOOKUP(C63,Muut!$D$40:$E$43,2,FALSE))),"--")</f>
        <v>--</v>
      </c>
      <c r="L61" s="39"/>
      <c r="M61" s="40" t="s">
        <v>184</v>
      </c>
      <c r="N61" s="40"/>
      <c r="O61" s="259"/>
      <c r="Q61" s="45"/>
      <c r="R61" s="213" t="str">
        <f>IF(AND(NOT(ISNUMBER(AB61)),NOT(ISNUMBER(AG61))),"",IF(ISNUMBER(AB61),AB61,0)+IF(ISNUMBER(AG61),AG61,0))</f>
        <v/>
      </c>
      <c r="S61" s="226" t="s">
        <v>160</v>
      </c>
      <c r="T61" s="211" t="str">
        <f>IFERROR(IF(ISNUMBER(L61),"Kohdetieto",VLOOKUP(C62,Kalusto!$C$45:$L$84,7,FALSE)),"--")</f>
        <v>--</v>
      </c>
      <c r="U61" s="211" t="str">
        <f>IFERROR(IF(ISNUMBER(L61),"Kohdetieto",VLOOKUP(C62,Kalusto!$C$45:$L$84,8,FALSE)),"--")</f>
        <v>--</v>
      </c>
      <c r="V61" s="212" t="str">
        <f>IFERROR(IF(ISNUMBER(L61),"Kohdetieto",VLOOKUP(C62,Kalusto!$C$45:$L$84,9,FALSE)),"--")</f>
        <v>--</v>
      </c>
      <c r="W61" s="212" t="str">
        <f>IFERROR(IF(ISNUMBER(L61),"Kohdetieto",VLOOKUP(C62,Kalusto!$C$45:$L$84,10,FALSE)),"--")</f>
        <v>--</v>
      </c>
      <c r="X61" s="213" t="str">
        <f>IF(ISBLANK(C61),"",IF(D61="t",C61,C61*G61))</f>
        <v/>
      </c>
      <c r="Y61" s="211" t="str">
        <f>IF(ISNUMBER(C64),C64,"")</f>
        <v/>
      </c>
      <c r="Z61" s="213" t="str">
        <f>IF(ISNUMBER(X61/(U61*V61)*Y61),X61/(U61*V61)*Y61,"")</f>
        <v/>
      </c>
      <c r="AA61" s="214" t="str">
        <f>IF(ISNUMBER(L61),L61,K61)</f>
        <v>--</v>
      </c>
      <c r="AB61" s="213" t="str">
        <f>IF(ISNUMBER(Y61*X61*K61),Y61*X61*K61,"")</f>
        <v/>
      </c>
      <c r="AC61" s="213" t="str">
        <f>IF(C81="Kyllä",Y61,"")</f>
        <v/>
      </c>
      <c r="AD61" s="213" t="str">
        <f>IF(C81="Kyllä",IF(ISNUMBER(X61/(U61*V61)),X61/(U61*V61),""),"")</f>
        <v/>
      </c>
      <c r="AE61" s="213" t="str">
        <f>IF(ISNUMBER(AD61*AC61),AD61*AC61,"")</f>
        <v/>
      </c>
      <c r="AF61" s="214" t="str">
        <f>IF(ISNUMBER(L62),L62,K62)</f>
        <v>--</v>
      </c>
      <c r="AG61" s="213" t="str">
        <f>IF(ISNUMBER(AC61*AD61*K62),AC61*AD61*K62,"")</f>
        <v/>
      </c>
      <c r="AH61" s="211">
        <f>IF(T61="Jakelukuorma-auto",0,IF(T61="Maansiirtoauto",4,IF(T61="Puoliperävaunu",6,8)))</f>
        <v>8</v>
      </c>
      <c r="AI61" s="211">
        <f>IF(AND(T61="Jakelukuorma-auto",U61=6),0,IF(AND(T61="Jakelukuorma-auto",U61=15),2,0))</f>
        <v>0</v>
      </c>
      <c r="AJ61" s="211">
        <f>IF(W61="maantieajo",0,1)</f>
        <v>1</v>
      </c>
      <c r="AK61" s="104"/>
      <c r="AL61" s="35"/>
      <c r="AM61" s="35"/>
      <c r="AN61" s="36"/>
      <c r="AO61" s="36"/>
      <c r="AP61" s="36"/>
      <c r="AQ61" s="36"/>
      <c r="AR61" s="36"/>
      <c r="AS61" s="36"/>
      <c r="AT61" s="36"/>
      <c r="AU61" s="36"/>
      <c r="AV61" s="36"/>
      <c r="AW61" s="36"/>
      <c r="AX61" s="36"/>
      <c r="AY61" s="36"/>
      <c r="AZ61" s="36"/>
      <c r="BA61" s="36"/>
      <c r="BB61" s="36"/>
      <c r="BC61" s="36"/>
      <c r="BD61" s="36"/>
      <c r="BE61" s="36"/>
    </row>
    <row r="62" spans="2:59" s="30" customFormat="1" ht="30" x14ac:dyDescent="0.2">
      <c r="B62" s="166" t="s">
        <v>463</v>
      </c>
      <c r="C62" s="471" t="s">
        <v>298</v>
      </c>
      <c r="D62" s="472"/>
      <c r="E62" s="472"/>
      <c r="F62" s="472"/>
      <c r="G62" s="473"/>
      <c r="H62" s="81"/>
      <c r="J62" s="32" t="s">
        <v>396</v>
      </c>
      <c r="K62" s="92" t="str">
        <f>IFERROR(IF(ISNUMBER(L62),L62,IF($C$81="Ei","",(VLOOKUP(C62,Kalusto!$C$45:$V$84,19,FALSE)*(VLOOKUP(C63,Muut!$D$40:$E$43,2,FALSE))))),"--")</f>
        <v>--</v>
      </c>
      <c r="L62" s="39"/>
      <c r="M62" s="40" t="s">
        <v>188</v>
      </c>
      <c r="N62" s="40"/>
      <c r="O62" s="259"/>
      <c r="P62" s="33"/>
      <c r="Q62" s="50"/>
      <c r="R62" s="43"/>
      <c r="S62" s="43"/>
      <c r="T62" s="43"/>
      <c r="U62" s="43"/>
      <c r="V62" s="43"/>
      <c r="W62" s="43"/>
      <c r="X62" s="43"/>
      <c r="Y62" s="43"/>
      <c r="Z62" s="43"/>
      <c r="AA62" s="43"/>
      <c r="AB62" s="43"/>
      <c r="AC62" s="43"/>
      <c r="AD62" s="43"/>
      <c r="AE62" s="43"/>
      <c r="AF62" s="43"/>
      <c r="AG62" s="43"/>
      <c r="AH62" s="43"/>
      <c r="AI62" s="43"/>
      <c r="AJ62" s="43"/>
      <c r="AK62" s="104"/>
      <c r="AL62" s="35"/>
      <c r="AM62" s="35"/>
      <c r="AN62" s="36"/>
      <c r="AO62" s="36"/>
      <c r="AP62" s="36"/>
      <c r="AQ62" s="36"/>
      <c r="AR62" s="36"/>
      <c r="AS62" s="36"/>
      <c r="AT62" s="36"/>
      <c r="AU62" s="36"/>
      <c r="AV62" s="36"/>
      <c r="AW62" s="36"/>
      <c r="AX62" s="36"/>
      <c r="AY62" s="36"/>
      <c r="AZ62" s="36"/>
      <c r="BA62" s="36"/>
      <c r="BB62" s="36"/>
      <c r="BC62" s="36"/>
      <c r="BD62" s="36"/>
      <c r="BE62" s="36"/>
    </row>
    <row r="63" spans="2:59" s="30" customFormat="1" ht="15" x14ac:dyDescent="0.2">
      <c r="B63" s="182" t="s">
        <v>457</v>
      </c>
      <c r="C63" s="156" t="s">
        <v>309</v>
      </c>
      <c r="D63" s="33"/>
      <c r="E63" s="33"/>
      <c r="F63" s="33"/>
      <c r="G63" s="33"/>
      <c r="H63" s="57"/>
      <c r="J63" s="169"/>
      <c r="K63" s="169"/>
      <c r="L63" s="169"/>
      <c r="M63" s="40"/>
      <c r="N63" s="40"/>
      <c r="O63" s="259"/>
      <c r="Q63" s="45"/>
      <c r="R63" s="226"/>
      <c r="S63" s="226"/>
      <c r="T63" s="43"/>
      <c r="U63" s="43"/>
      <c r="V63" s="215"/>
      <c r="W63" s="215"/>
      <c r="X63" s="216"/>
      <c r="Y63" s="43"/>
      <c r="Z63" s="216"/>
      <c r="AA63" s="217"/>
      <c r="AB63" s="216"/>
      <c r="AC63" s="216"/>
      <c r="AD63" s="216"/>
      <c r="AE63" s="216"/>
      <c r="AF63" s="217"/>
      <c r="AG63" s="216"/>
      <c r="AH63" s="43"/>
      <c r="AI63" s="43"/>
      <c r="AJ63" s="43"/>
      <c r="AK63" s="104"/>
      <c r="AL63" s="35"/>
      <c r="AM63" s="35"/>
      <c r="AN63" s="36"/>
      <c r="AO63" s="36"/>
      <c r="AP63" s="36"/>
      <c r="AQ63" s="36"/>
      <c r="AR63" s="36"/>
      <c r="AS63" s="36"/>
      <c r="AT63" s="36"/>
      <c r="AU63" s="36"/>
      <c r="AV63" s="36"/>
      <c r="AW63" s="36"/>
      <c r="AX63" s="36"/>
      <c r="AY63" s="36"/>
      <c r="AZ63" s="36"/>
      <c r="BA63" s="36"/>
      <c r="BB63" s="36"/>
      <c r="BC63" s="36"/>
      <c r="BD63" s="36"/>
      <c r="BE63" s="36"/>
    </row>
    <row r="64" spans="2:59" s="30" customFormat="1" ht="15" x14ac:dyDescent="0.2">
      <c r="B64" s="44" t="s">
        <v>465</v>
      </c>
      <c r="C64" s="158"/>
      <c r="D64" s="81" t="s">
        <v>5</v>
      </c>
      <c r="G64" s="33"/>
      <c r="H64" s="81"/>
      <c r="J64" s="51"/>
      <c r="K64" s="33"/>
      <c r="L64" s="33"/>
      <c r="M64" s="81"/>
      <c r="N64" s="81"/>
      <c r="O64" s="96"/>
      <c r="P64" s="51"/>
      <c r="Q64" s="50"/>
      <c r="R64" s="43"/>
      <c r="S64" s="43"/>
      <c r="T64" s="43"/>
      <c r="U64" s="43"/>
      <c r="V64" s="43"/>
      <c r="W64" s="43"/>
      <c r="X64" s="43"/>
      <c r="Y64" s="43"/>
      <c r="Z64" s="43"/>
      <c r="AA64" s="43"/>
      <c r="AB64" s="43"/>
      <c r="AC64" s="43"/>
      <c r="AD64" s="43"/>
      <c r="AE64" s="43"/>
      <c r="AF64" s="43"/>
      <c r="AG64" s="43"/>
      <c r="AH64" s="43"/>
      <c r="AI64" s="43"/>
      <c r="AJ64" s="43"/>
      <c r="AK64" s="104"/>
      <c r="AL64" s="35"/>
      <c r="AM64" s="35"/>
      <c r="AN64" s="36"/>
      <c r="AO64" s="36"/>
      <c r="AP64" s="36"/>
      <c r="AQ64" s="36"/>
      <c r="AR64" s="36"/>
      <c r="AS64" s="36"/>
      <c r="AT64" s="36"/>
      <c r="AU64" s="36"/>
      <c r="AV64" s="36"/>
      <c r="AW64" s="36"/>
      <c r="AX64" s="36"/>
      <c r="AY64" s="36"/>
      <c r="AZ64" s="36"/>
      <c r="BA64" s="36"/>
      <c r="BB64" s="36"/>
      <c r="BC64" s="36"/>
      <c r="BD64" s="36"/>
      <c r="BE64" s="36"/>
    </row>
    <row r="65" spans="2:57" s="30" customFormat="1" ht="15" x14ac:dyDescent="0.2">
      <c r="B65" s="151" t="s">
        <v>413</v>
      </c>
      <c r="C65" s="33"/>
      <c r="D65" s="81"/>
      <c r="G65" s="33"/>
      <c r="H65" s="81"/>
      <c r="J65" s="32"/>
      <c r="K65" s="37" t="s">
        <v>297</v>
      </c>
      <c r="L65" s="37" t="s">
        <v>185</v>
      </c>
      <c r="M65" s="81"/>
      <c r="N65" s="81"/>
      <c r="O65" s="96"/>
      <c r="P65" s="33"/>
      <c r="Q65" s="34"/>
      <c r="R65" s="216" t="s">
        <v>318</v>
      </c>
      <c r="S65" s="43"/>
      <c r="T65" s="43" t="s">
        <v>400</v>
      </c>
      <c r="U65" s="43" t="s">
        <v>399</v>
      </c>
      <c r="V65" s="43" t="s">
        <v>397</v>
      </c>
      <c r="W65" s="43" t="s">
        <v>398</v>
      </c>
      <c r="X65" s="43" t="s">
        <v>401</v>
      </c>
      <c r="Y65" s="43" t="s">
        <v>403</v>
      </c>
      <c r="Z65" s="43" t="s">
        <v>402</v>
      </c>
      <c r="AA65" s="43" t="s">
        <v>186</v>
      </c>
      <c r="AB65" s="43" t="s">
        <v>345</v>
      </c>
      <c r="AC65" s="43" t="s">
        <v>404</v>
      </c>
      <c r="AD65" s="43" t="s">
        <v>346</v>
      </c>
      <c r="AE65" s="43" t="s">
        <v>405</v>
      </c>
      <c r="AF65" s="43" t="s">
        <v>406</v>
      </c>
      <c r="AG65" s="43" t="s">
        <v>578</v>
      </c>
      <c r="AH65" s="43" t="s">
        <v>190</v>
      </c>
      <c r="AI65" s="43" t="s">
        <v>249</v>
      </c>
      <c r="AJ65" s="43" t="s">
        <v>191</v>
      </c>
      <c r="AK65" s="104"/>
      <c r="AL65" s="35"/>
      <c r="AM65" s="35"/>
      <c r="AN65" s="36"/>
      <c r="AO65" s="36"/>
      <c r="AP65" s="36"/>
      <c r="AQ65" s="36"/>
      <c r="AR65" s="36"/>
      <c r="AS65" s="36"/>
      <c r="AT65" s="36"/>
      <c r="AU65" s="36"/>
      <c r="AV65" s="36"/>
      <c r="AW65" s="36"/>
      <c r="AX65" s="36"/>
      <c r="AY65" s="36"/>
      <c r="AZ65" s="36"/>
      <c r="BA65" s="36"/>
      <c r="BB65" s="36"/>
      <c r="BC65" s="36"/>
      <c r="BD65" s="36"/>
      <c r="BE65" s="36"/>
    </row>
    <row r="66" spans="2:57" s="30" customFormat="1" ht="30" x14ac:dyDescent="0.2">
      <c r="B66" s="166" t="s">
        <v>464</v>
      </c>
      <c r="C66" s="157"/>
      <c r="D66" s="86" t="s">
        <v>163</v>
      </c>
      <c r="E66" s="172"/>
      <c r="F66" s="55"/>
      <c r="G66" s="157"/>
      <c r="H66" s="81" t="str">
        <f>IF(D66="t","t/t","t/m3")</f>
        <v>t/m3</v>
      </c>
      <c r="J66" s="169" t="s">
        <v>395</v>
      </c>
      <c r="K66" s="92" t="str">
        <f>IFERROR(IF(ISNUMBER(L66),L66,(VLOOKUP(C67,Kalusto!$C$45:$G$84,5,FALSE)*VLOOKUP(C68,Muut!$D$40:$E$43,2,FALSE))),"--")</f>
        <v>--</v>
      </c>
      <c r="L66" s="39"/>
      <c r="M66" s="40" t="s">
        <v>184</v>
      </c>
      <c r="N66" s="40"/>
      <c r="O66" s="259"/>
      <c r="Q66" s="45"/>
      <c r="R66" s="213" t="str">
        <f>IF(AND(NOT(ISNUMBER(AB66)),NOT(ISNUMBER(AG66))),"",IF(ISNUMBER(AB66),AB66,0)+IF(ISNUMBER(AG66),AG66,0))</f>
        <v/>
      </c>
      <c r="S66" s="226" t="s">
        <v>160</v>
      </c>
      <c r="T66" s="211" t="str">
        <f>IFERROR(IF(ISNUMBER(L66),"Kohdetieto",VLOOKUP(C67,Kalusto!$C$45:$L$84,7,FALSE)),"--")</f>
        <v>--</v>
      </c>
      <c r="U66" s="211" t="str">
        <f>IFERROR(IF(ISNUMBER(L66),"Kohdetieto",VLOOKUP(C67,Kalusto!$C$45:$L$84,8,FALSE)),"--")</f>
        <v>--</v>
      </c>
      <c r="V66" s="212" t="str">
        <f>IFERROR(IF(ISNUMBER(L66),"Kohdetieto",VLOOKUP(C67,Kalusto!$C$45:$L$84,9,FALSE)),"--")</f>
        <v>--</v>
      </c>
      <c r="W66" s="212" t="str">
        <f>IFERROR(IF(ISNUMBER(L66),"Kohdetieto",VLOOKUP(C67,Kalusto!$C$45:$L$84,10,FALSE)),"--")</f>
        <v>--</v>
      </c>
      <c r="X66" s="213" t="str">
        <f>IF(ISBLANK(C66),"",IF(D66="t",C66,C66*G66))</f>
        <v/>
      </c>
      <c r="Y66" s="211" t="str">
        <f>IF(ISNUMBER(C69),C69,"")</f>
        <v/>
      </c>
      <c r="Z66" s="213" t="str">
        <f>IF(ISNUMBER(X66/(U66*V66)*Y66),X66/(U66*V66)*Y66,"")</f>
        <v/>
      </c>
      <c r="AA66" s="214" t="str">
        <f>IF(ISNUMBER(L66),L66,K66)</f>
        <v>--</v>
      </c>
      <c r="AB66" s="213" t="str">
        <f>IF(ISNUMBER(Y66*X66*K66),Y66*X66*K66,"")</f>
        <v/>
      </c>
      <c r="AC66" s="213" t="str">
        <f>IF(C81="Kyllä",Y66,"")</f>
        <v/>
      </c>
      <c r="AD66" s="213" t="str">
        <f>IF(C81="Kyllä",IF(ISNUMBER(X66/(U66*V66)),X66/(U66*V66),""),"")</f>
        <v/>
      </c>
      <c r="AE66" s="213" t="str">
        <f>IF(ISNUMBER(AD66*AC66),AD66*AC66,"")</f>
        <v/>
      </c>
      <c r="AF66" s="214" t="str">
        <f>IF(ISNUMBER(L67),L67,K67)</f>
        <v>--</v>
      </c>
      <c r="AG66" s="213" t="str">
        <f>IF(ISNUMBER(AC66*AD66*K67),AC66*AD66*K67,"")</f>
        <v/>
      </c>
      <c r="AH66" s="211">
        <f>IF(T66="Jakelukuorma-auto",0,IF(T66="Maansiirtoauto",4,IF(T66="Puoliperävaunu",6,8)))</f>
        <v>8</v>
      </c>
      <c r="AI66" s="211">
        <f>IF(AND(T66="Jakelukuorma-auto",U66=6),0,IF(AND(T66="Jakelukuorma-auto",U66=15),2,0))</f>
        <v>0</v>
      </c>
      <c r="AJ66" s="211">
        <f>IF(W66="maantieajo",0,1)</f>
        <v>1</v>
      </c>
      <c r="AK66" s="104"/>
      <c r="AL66" s="35"/>
      <c r="AM66" s="35"/>
      <c r="AN66" s="36"/>
      <c r="AO66" s="36"/>
      <c r="AP66" s="36"/>
      <c r="AQ66" s="36"/>
      <c r="AR66" s="36"/>
      <c r="AS66" s="36"/>
      <c r="AT66" s="36"/>
      <c r="AU66" s="36"/>
      <c r="AV66" s="36"/>
      <c r="AW66" s="36"/>
      <c r="AX66" s="36"/>
      <c r="AY66" s="36"/>
      <c r="AZ66" s="36"/>
      <c r="BA66" s="36"/>
      <c r="BB66" s="36"/>
      <c r="BC66" s="36"/>
      <c r="BD66" s="36"/>
      <c r="BE66" s="36"/>
    </row>
    <row r="67" spans="2:57" s="30" customFormat="1" ht="30" x14ac:dyDescent="0.2">
      <c r="B67" s="166" t="s">
        <v>463</v>
      </c>
      <c r="C67" s="471" t="s">
        <v>298</v>
      </c>
      <c r="D67" s="472"/>
      <c r="E67" s="472"/>
      <c r="F67" s="472"/>
      <c r="G67" s="473"/>
      <c r="H67" s="81"/>
      <c r="J67" s="32" t="s">
        <v>396</v>
      </c>
      <c r="K67" s="92" t="str">
        <f>IFERROR(IF(ISNUMBER(L67),L67,IF($C$81="Ei","",(VLOOKUP(C67,Kalusto!$C$45:$V$84,19,FALSE)*(VLOOKUP(C68,Muut!$D$40:$E$43,2,FALSE))))),"--")</f>
        <v>--</v>
      </c>
      <c r="L67" s="39"/>
      <c r="M67" s="40" t="s">
        <v>188</v>
      </c>
      <c r="N67" s="40"/>
      <c r="O67" s="259"/>
      <c r="P67" s="33"/>
      <c r="Q67" s="50"/>
      <c r="R67" s="43"/>
      <c r="S67" s="43"/>
      <c r="T67" s="43"/>
      <c r="U67" s="43"/>
      <c r="V67" s="43"/>
      <c r="W67" s="43"/>
      <c r="X67" s="43"/>
      <c r="Y67" s="43"/>
      <c r="Z67" s="43"/>
      <c r="AA67" s="43"/>
      <c r="AB67" s="43"/>
      <c r="AC67" s="43"/>
      <c r="AD67" s="43"/>
      <c r="AE67" s="43"/>
      <c r="AF67" s="43"/>
      <c r="AG67" s="43"/>
      <c r="AH67" s="43"/>
      <c r="AI67" s="43"/>
      <c r="AJ67" s="43"/>
      <c r="AK67" s="104"/>
      <c r="AL67" s="35"/>
      <c r="AM67" s="35"/>
      <c r="AN67" s="36"/>
      <c r="AO67" s="36"/>
      <c r="AP67" s="36"/>
      <c r="AQ67" s="36"/>
      <c r="AR67" s="36"/>
      <c r="AS67" s="36"/>
      <c r="AT67" s="36"/>
      <c r="AU67" s="36"/>
      <c r="AV67" s="36"/>
      <c r="AW67" s="36"/>
      <c r="AX67" s="36"/>
      <c r="AY67" s="36"/>
      <c r="AZ67" s="36"/>
      <c r="BA67" s="36"/>
      <c r="BB67" s="36"/>
      <c r="BC67" s="36"/>
      <c r="BD67" s="36"/>
      <c r="BE67" s="36"/>
    </row>
    <row r="68" spans="2:57" s="30" customFormat="1" ht="15" x14ac:dyDescent="0.2">
      <c r="B68" s="182" t="s">
        <v>457</v>
      </c>
      <c r="C68" s="156" t="s">
        <v>309</v>
      </c>
      <c r="D68" s="33"/>
      <c r="E68" s="33"/>
      <c r="F68" s="33"/>
      <c r="G68" s="33"/>
      <c r="H68" s="57"/>
      <c r="J68" s="169"/>
      <c r="K68" s="169"/>
      <c r="L68" s="169"/>
      <c r="M68" s="40"/>
      <c r="N68" s="40"/>
      <c r="O68" s="259"/>
      <c r="Q68" s="45"/>
      <c r="R68" s="226"/>
      <c r="S68" s="226"/>
      <c r="T68" s="43"/>
      <c r="U68" s="43"/>
      <c r="V68" s="215"/>
      <c r="W68" s="215"/>
      <c r="X68" s="216"/>
      <c r="Y68" s="43"/>
      <c r="Z68" s="216"/>
      <c r="AA68" s="217"/>
      <c r="AB68" s="216"/>
      <c r="AC68" s="216"/>
      <c r="AD68" s="216"/>
      <c r="AE68" s="216"/>
      <c r="AF68" s="217"/>
      <c r="AG68" s="216"/>
      <c r="AH68" s="43"/>
      <c r="AI68" s="43"/>
      <c r="AJ68" s="43"/>
      <c r="AK68" s="104"/>
      <c r="AL68" s="35"/>
      <c r="AM68" s="35"/>
      <c r="AN68" s="36"/>
      <c r="AO68" s="36"/>
      <c r="AP68" s="36"/>
      <c r="AQ68" s="36"/>
      <c r="AR68" s="36"/>
      <c r="AS68" s="36"/>
      <c r="AT68" s="36"/>
      <c r="AU68" s="36"/>
      <c r="AV68" s="36"/>
      <c r="AW68" s="36"/>
      <c r="AX68" s="36"/>
      <c r="AY68" s="36"/>
      <c r="AZ68" s="36"/>
      <c r="BA68" s="36"/>
      <c r="BB68" s="36"/>
      <c r="BC68" s="36"/>
      <c r="BD68" s="36"/>
      <c r="BE68" s="36"/>
    </row>
    <row r="69" spans="2:57" s="30" customFormat="1" ht="15" x14ac:dyDescent="0.2">
      <c r="B69" s="44" t="s">
        <v>465</v>
      </c>
      <c r="C69" s="158"/>
      <c r="D69" s="81" t="s">
        <v>5</v>
      </c>
      <c r="G69" s="33"/>
      <c r="H69" s="81"/>
      <c r="J69" s="51"/>
      <c r="K69" s="33"/>
      <c r="L69" s="33"/>
      <c r="M69" s="81"/>
      <c r="N69" s="81"/>
      <c r="O69" s="96"/>
      <c r="P69" s="51"/>
      <c r="Q69" s="50"/>
      <c r="R69" s="43"/>
      <c r="S69" s="43"/>
      <c r="T69" s="43"/>
      <c r="U69" s="43"/>
      <c r="V69" s="43"/>
      <c r="W69" s="43"/>
      <c r="X69" s="43"/>
      <c r="Y69" s="43"/>
      <c r="Z69" s="43"/>
      <c r="AA69" s="43"/>
      <c r="AB69" s="43"/>
      <c r="AC69" s="43"/>
      <c r="AD69" s="43"/>
      <c r="AE69" s="43"/>
      <c r="AF69" s="43"/>
      <c r="AG69" s="43"/>
      <c r="AH69" s="43"/>
      <c r="AI69" s="43"/>
      <c r="AJ69" s="43"/>
      <c r="AK69" s="104"/>
      <c r="AL69" s="35"/>
      <c r="AM69" s="35"/>
      <c r="AN69" s="36"/>
      <c r="AO69" s="36"/>
      <c r="AP69" s="36"/>
      <c r="AQ69" s="36"/>
      <c r="AR69" s="36"/>
      <c r="AS69" s="36"/>
      <c r="AT69" s="36"/>
      <c r="AU69" s="36"/>
      <c r="AV69" s="36"/>
      <c r="AW69" s="36"/>
      <c r="AX69" s="36"/>
      <c r="AY69" s="36"/>
      <c r="AZ69" s="36"/>
      <c r="BA69" s="36"/>
      <c r="BB69" s="36"/>
      <c r="BC69" s="36"/>
      <c r="BD69" s="36"/>
      <c r="BE69" s="36"/>
    </row>
    <row r="70" spans="2:57" s="30" customFormat="1" ht="15" x14ac:dyDescent="0.2">
      <c r="B70" s="151" t="s">
        <v>414</v>
      </c>
      <c r="C70" s="33"/>
      <c r="D70" s="81"/>
      <c r="G70" s="33"/>
      <c r="H70" s="81"/>
      <c r="J70" s="32"/>
      <c r="K70" s="37" t="s">
        <v>297</v>
      </c>
      <c r="L70" s="37" t="s">
        <v>185</v>
      </c>
      <c r="M70" s="81"/>
      <c r="N70" s="81"/>
      <c r="O70" s="96"/>
      <c r="P70" s="33"/>
      <c r="Q70" s="34"/>
      <c r="R70" s="216" t="s">
        <v>318</v>
      </c>
      <c r="S70" s="43"/>
      <c r="T70" s="43" t="s">
        <v>400</v>
      </c>
      <c r="U70" s="43" t="s">
        <v>399</v>
      </c>
      <c r="V70" s="43" t="s">
        <v>397</v>
      </c>
      <c r="W70" s="43" t="s">
        <v>398</v>
      </c>
      <c r="X70" s="43" t="s">
        <v>401</v>
      </c>
      <c r="Y70" s="43" t="s">
        <v>403</v>
      </c>
      <c r="Z70" s="43" t="s">
        <v>402</v>
      </c>
      <c r="AA70" s="43" t="s">
        <v>186</v>
      </c>
      <c r="AB70" s="43" t="s">
        <v>345</v>
      </c>
      <c r="AC70" s="43" t="s">
        <v>404</v>
      </c>
      <c r="AD70" s="43" t="s">
        <v>346</v>
      </c>
      <c r="AE70" s="43" t="s">
        <v>405</v>
      </c>
      <c r="AF70" s="43" t="s">
        <v>406</v>
      </c>
      <c r="AG70" s="43" t="s">
        <v>578</v>
      </c>
      <c r="AH70" s="43" t="s">
        <v>190</v>
      </c>
      <c r="AI70" s="43" t="s">
        <v>249</v>
      </c>
      <c r="AJ70" s="43" t="s">
        <v>191</v>
      </c>
      <c r="AK70" s="104"/>
      <c r="AL70" s="35"/>
      <c r="AM70" s="35"/>
      <c r="AN70" s="36"/>
      <c r="AO70" s="36"/>
      <c r="AP70" s="36"/>
      <c r="AQ70" s="36"/>
      <c r="AR70" s="36"/>
      <c r="AS70" s="36"/>
      <c r="AT70" s="36"/>
      <c r="AU70" s="36"/>
      <c r="AV70" s="36"/>
      <c r="AW70" s="36"/>
      <c r="AX70" s="36"/>
      <c r="AY70" s="36"/>
      <c r="AZ70" s="36"/>
      <c r="BA70" s="36"/>
      <c r="BB70" s="36"/>
      <c r="BC70" s="36"/>
      <c r="BD70" s="36"/>
      <c r="BE70" s="36"/>
    </row>
    <row r="71" spans="2:57" s="30" customFormat="1" ht="30" x14ac:dyDescent="0.2">
      <c r="B71" s="166" t="s">
        <v>464</v>
      </c>
      <c r="C71" s="157"/>
      <c r="D71" s="86" t="s">
        <v>163</v>
      </c>
      <c r="E71" s="33"/>
      <c r="F71" s="56"/>
      <c r="G71" s="157"/>
      <c r="H71" s="81" t="str">
        <f>IF(D71="t","t/t","t/m3")</f>
        <v>t/m3</v>
      </c>
      <c r="J71" s="169" t="s">
        <v>395</v>
      </c>
      <c r="K71" s="92" t="str">
        <f>IFERROR(IF(ISNUMBER(L71),L71,(VLOOKUP(C72,Kalusto!$C$45:$G$84,5,FALSE)*VLOOKUP(C73,Muut!$D$40:$E$43,2,FALSE))),"--")</f>
        <v>--</v>
      </c>
      <c r="L71" s="39"/>
      <c r="M71" s="40" t="s">
        <v>184</v>
      </c>
      <c r="N71" s="40"/>
      <c r="O71" s="259"/>
      <c r="Q71" s="45"/>
      <c r="R71" s="213" t="str">
        <f>IF(AND(NOT(ISNUMBER(AB71)),NOT(ISNUMBER(AG71))),"",IF(ISNUMBER(AB71),AB71,0)+IF(ISNUMBER(AG71),AG71,0))</f>
        <v/>
      </c>
      <c r="S71" s="226" t="s">
        <v>160</v>
      </c>
      <c r="T71" s="211" t="str">
        <f>IFERROR(IF(ISNUMBER(L71),"Kohdetieto",VLOOKUP(C72,Kalusto!$C$45:$L$84,7,FALSE)),"--")</f>
        <v>--</v>
      </c>
      <c r="U71" s="211" t="str">
        <f>IFERROR(IF(ISNUMBER(L71),"Kohdetieto",VLOOKUP(C72,Kalusto!$C$45:$L$84,8,FALSE)),"--")</f>
        <v>--</v>
      </c>
      <c r="V71" s="212" t="str">
        <f>IFERROR(IF(ISNUMBER(L71),"Kohdetieto",VLOOKUP(C72,Kalusto!$C$45:$L$84,9,FALSE)),"--")</f>
        <v>--</v>
      </c>
      <c r="W71" s="212" t="str">
        <f>IFERROR(IF(ISNUMBER(L71),"Kohdetieto",VLOOKUP(C72,Kalusto!$C$45:$L$84,10,FALSE)),"--")</f>
        <v>--</v>
      </c>
      <c r="X71" s="213" t="str">
        <f>IF(ISBLANK(C71),"",IF(D71="t",C71,C71*G71))</f>
        <v/>
      </c>
      <c r="Y71" s="211" t="str">
        <f>IF(ISNUMBER(C74),C74,"")</f>
        <v/>
      </c>
      <c r="Z71" s="213" t="str">
        <f>IF(ISNUMBER(X71/(U71*V71)*Y71),X71/(U71*V71)*Y71,"")</f>
        <v/>
      </c>
      <c r="AA71" s="214" t="str">
        <f>IF(ISNUMBER(L71),L71,K71)</f>
        <v>--</v>
      </c>
      <c r="AB71" s="213" t="str">
        <f>IF(ISNUMBER(Y71*X71*K71),Y71*X71*K71,"")</f>
        <v/>
      </c>
      <c r="AC71" s="213" t="str">
        <f>IF(C81="Kyllä",Y71,"")</f>
        <v/>
      </c>
      <c r="AD71" s="213" t="str">
        <f>IF(C81="Kyllä",IF(ISNUMBER(X71/(U71*V71)),X71/(U71*V71),""),"")</f>
        <v/>
      </c>
      <c r="AE71" s="213" t="str">
        <f>IF(ISNUMBER(AD71*AC71),AD71*AC71,"")</f>
        <v/>
      </c>
      <c r="AF71" s="214" t="str">
        <f>IF(ISNUMBER(L72),L72,K72)</f>
        <v>--</v>
      </c>
      <c r="AG71" s="213" t="str">
        <f>IF(ISNUMBER(AC71*AD71*K72),AC71*AD71*K72,"")</f>
        <v/>
      </c>
      <c r="AH71" s="211">
        <f>IF(T71="Jakelukuorma-auto",0,IF(T71="Maansiirtoauto",4,IF(T71="Puoliperävaunu",6,8)))</f>
        <v>8</v>
      </c>
      <c r="AI71" s="211">
        <f>IF(AND(T71="Jakelukuorma-auto",U71=6),0,IF(AND(T71="Jakelukuorma-auto",U71=15),2,0))</f>
        <v>0</v>
      </c>
      <c r="AJ71" s="211">
        <f>IF(W71="maantieajo",0,1)</f>
        <v>1</v>
      </c>
      <c r="AK71" s="104"/>
      <c r="AL71" s="35"/>
      <c r="AM71" s="35"/>
      <c r="AN71" s="36"/>
      <c r="AO71" s="36"/>
      <c r="AP71" s="36"/>
      <c r="AQ71" s="36"/>
      <c r="AR71" s="36"/>
      <c r="AS71" s="36"/>
      <c r="AT71" s="36"/>
      <c r="AU71" s="36"/>
      <c r="AV71" s="36"/>
      <c r="AW71" s="36"/>
      <c r="AX71" s="36"/>
      <c r="AY71" s="36"/>
      <c r="AZ71" s="36"/>
      <c r="BA71" s="36"/>
      <c r="BB71" s="36"/>
      <c r="BC71" s="36"/>
      <c r="BD71" s="36"/>
      <c r="BE71" s="36"/>
    </row>
    <row r="72" spans="2:57" s="30" customFormat="1" ht="30" x14ac:dyDescent="0.2">
      <c r="B72" s="166" t="s">
        <v>463</v>
      </c>
      <c r="C72" s="471" t="s">
        <v>298</v>
      </c>
      <c r="D72" s="472"/>
      <c r="E72" s="472"/>
      <c r="F72" s="472"/>
      <c r="G72" s="473"/>
      <c r="H72" s="81"/>
      <c r="J72" s="32" t="s">
        <v>396</v>
      </c>
      <c r="K72" s="92" t="str">
        <f>IFERROR(IF(ISNUMBER(L72),L72,IF($C$81="Ei","",(VLOOKUP(C72,Kalusto!$C$45:$V$84,19,FALSE)*(VLOOKUP(C73,Muut!$D$40:$E$43,2,FALSE))))),"--")</f>
        <v>--</v>
      </c>
      <c r="L72" s="39"/>
      <c r="M72" s="40" t="s">
        <v>188</v>
      </c>
      <c r="N72" s="40"/>
      <c r="O72" s="259"/>
      <c r="P72" s="33"/>
      <c r="Q72" s="50"/>
      <c r="R72" s="43"/>
      <c r="S72" s="43"/>
      <c r="T72" s="43"/>
      <c r="U72" s="43"/>
      <c r="V72" s="43"/>
      <c r="W72" s="43"/>
      <c r="X72" s="43"/>
      <c r="Y72" s="43"/>
      <c r="Z72" s="43"/>
      <c r="AA72" s="43"/>
      <c r="AB72" s="43"/>
      <c r="AC72" s="43"/>
      <c r="AD72" s="43"/>
      <c r="AE72" s="43"/>
      <c r="AF72" s="43"/>
      <c r="AG72" s="43"/>
      <c r="AH72" s="43"/>
      <c r="AI72" s="43"/>
      <c r="AJ72" s="43"/>
      <c r="AK72" s="104"/>
      <c r="AL72" s="35"/>
      <c r="AM72" s="35"/>
      <c r="AN72" s="36"/>
      <c r="AO72" s="36"/>
      <c r="AP72" s="36"/>
      <c r="AQ72" s="36"/>
      <c r="AR72" s="36"/>
      <c r="AS72" s="36"/>
      <c r="AT72" s="36"/>
      <c r="AU72" s="36"/>
      <c r="AV72" s="36"/>
      <c r="AW72" s="36"/>
      <c r="AX72" s="36"/>
      <c r="AY72" s="36"/>
      <c r="AZ72" s="36"/>
      <c r="BA72" s="36"/>
      <c r="BB72" s="36"/>
      <c r="BC72" s="36"/>
      <c r="BD72" s="36"/>
      <c r="BE72" s="36"/>
    </row>
    <row r="73" spans="2:57" s="30" customFormat="1" ht="15" x14ac:dyDescent="0.2">
      <c r="B73" s="182" t="s">
        <v>457</v>
      </c>
      <c r="C73" s="156" t="s">
        <v>309</v>
      </c>
      <c r="D73" s="33"/>
      <c r="E73" s="33"/>
      <c r="F73" s="33"/>
      <c r="G73" s="33"/>
      <c r="H73" s="57"/>
      <c r="J73" s="169"/>
      <c r="K73" s="169"/>
      <c r="L73" s="169"/>
      <c r="M73" s="40"/>
      <c r="N73" s="40"/>
      <c r="O73" s="259"/>
      <c r="Q73" s="45"/>
      <c r="R73" s="226"/>
      <c r="S73" s="226"/>
      <c r="T73" s="43"/>
      <c r="U73" s="43"/>
      <c r="V73" s="215"/>
      <c r="W73" s="215"/>
      <c r="X73" s="216"/>
      <c r="Y73" s="43"/>
      <c r="Z73" s="216"/>
      <c r="AA73" s="217"/>
      <c r="AB73" s="216"/>
      <c r="AC73" s="216"/>
      <c r="AD73" s="216"/>
      <c r="AE73" s="216"/>
      <c r="AF73" s="217"/>
      <c r="AG73" s="216"/>
      <c r="AH73" s="43"/>
      <c r="AI73" s="43"/>
      <c r="AJ73" s="43"/>
      <c r="AK73" s="104"/>
      <c r="AL73" s="35"/>
      <c r="AM73" s="35"/>
      <c r="AN73" s="36"/>
      <c r="AO73" s="36"/>
      <c r="AP73" s="36"/>
      <c r="AQ73" s="36"/>
      <c r="AR73" s="36"/>
      <c r="AS73" s="36"/>
      <c r="AT73" s="36"/>
      <c r="AU73" s="36"/>
      <c r="AV73" s="36"/>
      <c r="AW73" s="36"/>
      <c r="AX73" s="36"/>
      <c r="AY73" s="36"/>
      <c r="AZ73" s="36"/>
      <c r="BA73" s="36"/>
      <c r="BB73" s="36"/>
      <c r="BC73" s="36"/>
      <c r="BD73" s="36"/>
      <c r="BE73" s="36"/>
    </row>
    <row r="74" spans="2:57" s="30" customFormat="1" ht="15" x14ac:dyDescent="0.2">
      <c r="B74" s="44" t="s">
        <v>465</v>
      </c>
      <c r="C74" s="158"/>
      <c r="D74" s="87" t="s">
        <v>164</v>
      </c>
      <c r="E74" s="56"/>
      <c r="F74" s="56"/>
      <c r="G74" s="33"/>
      <c r="H74" s="81"/>
      <c r="J74" s="51"/>
      <c r="K74" s="33"/>
      <c r="L74" s="33"/>
      <c r="M74" s="81"/>
      <c r="N74" s="81"/>
      <c r="O74" s="96"/>
      <c r="P74" s="51"/>
      <c r="Q74" s="50"/>
      <c r="R74" s="43"/>
      <c r="S74" s="43"/>
      <c r="T74" s="43"/>
      <c r="U74" s="43"/>
      <c r="V74" s="43"/>
      <c r="W74" s="43"/>
      <c r="X74" s="43"/>
      <c r="Y74" s="43"/>
      <c r="Z74" s="43"/>
      <c r="AA74" s="43"/>
      <c r="AB74" s="43"/>
      <c r="AC74" s="43"/>
      <c r="AD74" s="43"/>
      <c r="AE74" s="43"/>
      <c r="AF74" s="43"/>
      <c r="AG74" s="43"/>
      <c r="AH74" s="43"/>
      <c r="AI74" s="43"/>
      <c r="AJ74" s="43"/>
      <c r="AK74" s="104"/>
      <c r="AL74" s="35"/>
      <c r="AM74" s="35"/>
      <c r="AN74" s="36"/>
      <c r="AO74" s="36"/>
      <c r="AP74" s="36"/>
      <c r="AQ74" s="36"/>
      <c r="AR74" s="36"/>
      <c r="AS74" s="36"/>
      <c r="AT74" s="36"/>
      <c r="AU74" s="36"/>
      <c r="AV74" s="36"/>
      <c r="AW74" s="36"/>
      <c r="AX74" s="36"/>
      <c r="AY74" s="36"/>
      <c r="AZ74" s="36"/>
      <c r="BA74" s="36"/>
      <c r="BB74" s="36"/>
      <c r="BC74" s="36"/>
      <c r="BD74" s="36"/>
      <c r="BE74" s="36"/>
    </row>
    <row r="75" spans="2:57" s="30" customFormat="1" ht="15" x14ac:dyDescent="0.2">
      <c r="B75" s="151" t="s">
        <v>302</v>
      </c>
      <c r="C75" s="33"/>
      <c r="D75" s="81"/>
      <c r="G75" s="33"/>
      <c r="H75" s="81"/>
      <c r="J75" s="32"/>
      <c r="K75" s="37" t="s">
        <v>297</v>
      </c>
      <c r="L75" s="37" t="s">
        <v>185</v>
      </c>
      <c r="M75" s="81"/>
      <c r="N75" s="81"/>
      <c r="O75" s="96"/>
      <c r="P75" s="33"/>
      <c r="Q75" s="34"/>
      <c r="R75" s="216" t="s">
        <v>318</v>
      </c>
      <c r="S75" s="43"/>
      <c r="T75" s="43" t="s">
        <v>400</v>
      </c>
      <c r="U75" s="43" t="s">
        <v>399</v>
      </c>
      <c r="V75" s="43" t="s">
        <v>397</v>
      </c>
      <c r="W75" s="43" t="s">
        <v>398</v>
      </c>
      <c r="X75" s="43" t="s">
        <v>401</v>
      </c>
      <c r="Y75" s="43" t="s">
        <v>403</v>
      </c>
      <c r="Z75" s="43" t="s">
        <v>402</v>
      </c>
      <c r="AA75" s="43" t="s">
        <v>186</v>
      </c>
      <c r="AB75" s="43" t="s">
        <v>345</v>
      </c>
      <c r="AC75" s="43" t="s">
        <v>404</v>
      </c>
      <c r="AD75" s="43" t="s">
        <v>346</v>
      </c>
      <c r="AE75" s="43" t="s">
        <v>405</v>
      </c>
      <c r="AF75" s="43" t="s">
        <v>406</v>
      </c>
      <c r="AG75" s="43" t="s">
        <v>578</v>
      </c>
      <c r="AH75" s="43" t="s">
        <v>190</v>
      </c>
      <c r="AI75" s="43" t="s">
        <v>249</v>
      </c>
      <c r="AJ75" s="43" t="s">
        <v>191</v>
      </c>
      <c r="AK75" s="104"/>
      <c r="AL75" s="35"/>
      <c r="AM75" s="35"/>
      <c r="AN75" s="36"/>
      <c r="AO75" s="36"/>
      <c r="AP75" s="36"/>
      <c r="AQ75" s="36"/>
      <c r="AR75" s="36"/>
      <c r="AS75" s="36"/>
      <c r="AT75" s="36"/>
      <c r="AU75" s="36"/>
      <c r="AV75" s="36"/>
      <c r="AW75" s="36"/>
      <c r="AX75" s="36"/>
      <c r="AY75" s="36"/>
      <c r="AZ75" s="36"/>
      <c r="BA75" s="36"/>
      <c r="BB75" s="36"/>
      <c r="BC75" s="36"/>
      <c r="BD75" s="36"/>
      <c r="BE75" s="36"/>
    </row>
    <row r="76" spans="2:57" s="30" customFormat="1" ht="30" x14ac:dyDescent="0.2">
      <c r="B76" s="166" t="s">
        <v>464</v>
      </c>
      <c r="C76" s="157"/>
      <c r="D76" s="86" t="s">
        <v>163</v>
      </c>
      <c r="E76" s="33"/>
      <c r="F76" s="56"/>
      <c r="G76" s="157"/>
      <c r="H76" s="81" t="str">
        <f>IF(D76="t","t/t","t/m3")</f>
        <v>t/m3</v>
      </c>
      <c r="J76" s="169" t="s">
        <v>395</v>
      </c>
      <c r="K76" s="92" t="str">
        <f>IFERROR(IF(ISNUMBER(L76),L76,(VLOOKUP(C77,Kalusto!$C$45:$G$84,5,FALSE)*VLOOKUP(C78,Muut!$D$40:$E$43,2,FALSE))),"--")</f>
        <v>--</v>
      </c>
      <c r="L76" s="39"/>
      <c r="M76" s="40" t="s">
        <v>184</v>
      </c>
      <c r="N76" s="40"/>
      <c r="O76" s="259"/>
      <c r="Q76" s="45"/>
      <c r="R76" s="213" t="str">
        <f>IF(AND(NOT(ISNUMBER(AB76)),NOT(ISNUMBER(AG76))),"",IF(ISNUMBER(AB76),AB76,0)+IF(ISNUMBER(AG76),AG76,0))</f>
        <v/>
      </c>
      <c r="S76" s="226" t="s">
        <v>160</v>
      </c>
      <c r="T76" s="211" t="str">
        <f>IFERROR(IF(ISNUMBER(L76),"Kohdetieto",VLOOKUP(C77,Kalusto!$C$45:$L$84,7,FALSE)),"--")</f>
        <v>--</v>
      </c>
      <c r="U76" s="211" t="str">
        <f>IFERROR(IF(ISNUMBER(L76),"Kohdetieto",VLOOKUP(C77,Kalusto!$C$45:$L$84,8,FALSE)),"--")</f>
        <v>--</v>
      </c>
      <c r="V76" s="212" t="str">
        <f>IFERROR(IF(ISNUMBER(L76),"Kohdetieto",VLOOKUP(C77,Kalusto!$C$45:$L$84,9,FALSE)),"--")</f>
        <v>--</v>
      </c>
      <c r="W76" s="212" t="str">
        <f>IFERROR(IF(ISNUMBER(L76),"Kohdetieto",VLOOKUP(C77,Kalusto!$C$45:$L$84,10,FALSE)),"--")</f>
        <v>--</v>
      </c>
      <c r="X76" s="213" t="str">
        <f>IF(ISBLANK(C76),"",IF(D76="t",C76,C76*G76))</f>
        <v/>
      </c>
      <c r="Y76" s="211" t="str">
        <f>IF(ISNUMBER(C79),C79,"")</f>
        <v/>
      </c>
      <c r="Z76" s="213" t="str">
        <f>IF(ISNUMBER(X76/(U76*V76)*Y76),X76/(U76*V76)*Y76,"")</f>
        <v/>
      </c>
      <c r="AA76" s="214" t="str">
        <f>IF(ISNUMBER(L76),L76,K76)</f>
        <v>--</v>
      </c>
      <c r="AB76" s="213" t="str">
        <f>IF(ISNUMBER(Y76*X76*K76),Y76*X76*K76,"")</f>
        <v/>
      </c>
      <c r="AC76" s="213" t="str">
        <f>IF(C81="Kyllä",Y76,"")</f>
        <v/>
      </c>
      <c r="AD76" s="213" t="str">
        <f>IF(C81="Kyllä",IF(ISNUMBER(X76/(U76*V76)),X76/(U76*V76),""),"")</f>
        <v/>
      </c>
      <c r="AE76" s="213" t="str">
        <f>IF(ISNUMBER(AD76*AC76),AD76*AC76,"")</f>
        <v/>
      </c>
      <c r="AF76" s="214" t="str">
        <f>IF(ISNUMBER(L77),L77,K77)</f>
        <v>--</v>
      </c>
      <c r="AG76" s="213" t="str">
        <f>IF(ISNUMBER(AC76*AD76*K77),AC76*AD76*K77,"")</f>
        <v/>
      </c>
      <c r="AH76" s="211">
        <f>IF(T76="Jakelukuorma-auto",0,IF(T76="Maansiirtoauto",4,IF(T76="Puoliperävaunu",6,8)))</f>
        <v>8</v>
      </c>
      <c r="AI76" s="211">
        <f>IF(AND(T76="Jakelukuorma-auto",U76=6),0,IF(AND(T76="Jakelukuorma-auto",U76=15),2,0))</f>
        <v>0</v>
      </c>
      <c r="AJ76" s="211">
        <f>IF(W76="maantieajo",0,1)</f>
        <v>1</v>
      </c>
      <c r="AK76" s="104"/>
      <c r="AL76" s="35"/>
      <c r="AM76" s="35"/>
      <c r="AN76" s="36"/>
      <c r="AO76" s="36"/>
      <c r="AP76" s="36"/>
      <c r="AQ76" s="36"/>
      <c r="AR76" s="36"/>
      <c r="AS76" s="36"/>
      <c r="AT76" s="36"/>
      <c r="AU76" s="36"/>
      <c r="AV76" s="36"/>
      <c r="AW76" s="36"/>
      <c r="AX76" s="36"/>
      <c r="AY76" s="36"/>
      <c r="AZ76" s="36"/>
      <c r="BA76" s="36"/>
      <c r="BB76" s="36"/>
      <c r="BC76" s="36"/>
      <c r="BD76" s="36"/>
      <c r="BE76" s="36"/>
    </row>
    <row r="77" spans="2:57" s="30" customFormat="1" ht="30" x14ac:dyDescent="0.2">
      <c r="B77" s="166" t="s">
        <v>463</v>
      </c>
      <c r="C77" s="471" t="s">
        <v>298</v>
      </c>
      <c r="D77" s="472"/>
      <c r="E77" s="472"/>
      <c r="F77" s="472"/>
      <c r="G77" s="473"/>
      <c r="H77" s="81"/>
      <c r="J77" s="32" t="s">
        <v>396</v>
      </c>
      <c r="K77" s="92" t="str">
        <f>IFERROR(IF(ISNUMBER(L77),L77,IF($C$81="Ei","",(VLOOKUP(C77,Kalusto!$C$45:$V$84,19,FALSE)*(VLOOKUP(C78,Muut!$D$40:$E$43,2,FALSE))))),"--")</f>
        <v>--</v>
      </c>
      <c r="L77" s="39"/>
      <c r="M77" s="40" t="s">
        <v>188</v>
      </c>
      <c r="N77" s="40"/>
      <c r="O77" s="259"/>
      <c r="P77" s="33"/>
      <c r="Q77" s="50"/>
      <c r="R77" s="102"/>
      <c r="S77" s="43"/>
      <c r="T77" s="43"/>
      <c r="U77" s="43"/>
      <c r="V77" s="43"/>
      <c r="W77" s="43"/>
      <c r="X77" s="43"/>
      <c r="Y77" s="43"/>
      <c r="Z77" s="43"/>
      <c r="AA77" s="43"/>
      <c r="AB77" s="43"/>
      <c r="AC77" s="43"/>
      <c r="AD77" s="43"/>
      <c r="AE77" s="43"/>
      <c r="AF77" s="43"/>
      <c r="AG77" s="43"/>
      <c r="AH77" s="43"/>
      <c r="AI77" s="43"/>
      <c r="AJ77" s="43"/>
      <c r="AK77" s="35"/>
      <c r="AL77" s="35"/>
      <c r="AM77" s="35"/>
      <c r="AN77" s="36"/>
      <c r="AO77" s="36"/>
      <c r="AP77" s="36"/>
      <c r="AQ77" s="36"/>
      <c r="AR77" s="36"/>
      <c r="AS77" s="36"/>
      <c r="AT77" s="36"/>
      <c r="AU77" s="36"/>
      <c r="AV77" s="36"/>
      <c r="AW77" s="36"/>
      <c r="AX77" s="36"/>
      <c r="AY77" s="36"/>
      <c r="AZ77" s="36"/>
      <c r="BA77" s="36"/>
      <c r="BB77" s="36"/>
      <c r="BC77" s="36"/>
      <c r="BD77" s="36"/>
      <c r="BE77" s="36"/>
    </row>
    <row r="78" spans="2:57" s="30" customFormat="1" ht="15" x14ac:dyDescent="0.2">
      <c r="B78" s="182" t="s">
        <v>457</v>
      </c>
      <c r="C78" s="156" t="s">
        <v>309</v>
      </c>
      <c r="D78" s="33"/>
      <c r="E78" s="33"/>
      <c r="F78" s="33"/>
      <c r="G78" s="33"/>
      <c r="H78" s="57"/>
      <c r="J78" s="169"/>
      <c r="K78" s="169"/>
      <c r="L78" s="169"/>
      <c r="M78" s="40"/>
      <c r="N78" s="40"/>
      <c r="O78" s="259"/>
      <c r="Q78" s="45"/>
      <c r="R78" s="226"/>
      <c r="S78" s="226"/>
      <c r="T78" s="43"/>
      <c r="U78" s="43"/>
      <c r="V78" s="215"/>
      <c r="W78" s="215"/>
      <c r="X78" s="216"/>
      <c r="Y78" s="43"/>
      <c r="Z78" s="216"/>
      <c r="AA78" s="217"/>
      <c r="AB78" s="216"/>
      <c r="AC78" s="216"/>
      <c r="AD78" s="216"/>
      <c r="AE78" s="216"/>
      <c r="AF78" s="217"/>
      <c r="AG78" s="216"/>
      <c r="AH78" s="43"/>
      <c r="AI78" s="43"/>
      <c r="AJ78" s="43"/>
      <c r="AK78" s="104"/>
      <c r="AL78" s="35"/>
      <c r="AM78" s="35"/>
      <c r="AN78" s="36"/>
      <c r="AO78" s="36"/>
      <c r="AP78" s="36"/>
      <c r="AQ78" s="36"/>
      <c r="AR78" s="36"/>
      <c r="AS78" s="36"/>
      <c r="AT78" s="36"/>
      <c r="AU78" s="36"/>
      <c r="AV78" s="36"/>
      <c r="AW78" s="36"/>
      <c r="AX78" s="36"/>
      <c r="AY78" s="36"/>
      <c r="AZ78" s="36"/>
      <c r="BA78" s="36"/>
      <c r="BB78" s="36"/>
      <c r="BC78" s="36"/>
      <c r="BD78" s="36"/>
      <c r="BE78" s="36"/>
    </row>
    <row r="79" spans="2:57" s="30" customFormat="1" ht="15" x14ac:dyDescent="0.2">
      <c r="B79" s="44" t="s">
        <v>465</v>
      </c>
      <c r="C79" s="158"/>
      <c r="D79" s="81" t="s">
        <v>5</v>
      </c>
      <c r="G79" s="33"/>
      <c r="H79" s="81"/>
      <c r="J79" s="51"/>
      <c r="K79" s="33"/>
      <c r="L79" s="33"/>
      <c r="M79" s="81"/>
      <c r="N79" s="81"/>
      <c r="O79" s="96"/>
      <c r="P79" s="51"/>
      <c r="Q79" s="50"/>
      <c r="R79" s="102"/>
      <c r="S79" s="43"/>
      <c r="T79" s="43"/>
      <c r="U79" s="43"/>
      <c r="V79" s="43"/>
      <c r="W79" s="43"/>
      <c r="X79" s="43"/>
      <c r="Y79" s="43"/>
      <c r="Z79" s="43"/>
      <c r="AA79" s="43"/>
      <c r="AB79" s="43"/>
      <c r="AC79" s="43"/>
      <c r="AD79" s="43"/>
      <c r="AE79" s="43"/>
      <c r="AF79" s="43"/>
      <c r="AG79" s="43"/>
      <c r="AH79" s="43"/>
      <c r="AI79" s="43"/>
      <c r="AJ79" s="43"/>
      <c r="AK79" s="35"/>
      <c r="AL79" s="35"/>
      <c r="AM79" s="35"/>
      <c r="AN79" s="36"/>
      <c r="AO79" s="36"/>
      <c r="AP79" s="36"/>
      <c r="AQ79" s="36"/>
      <c r="AR79" s="36"/>
      <c r="AS79" s="36"/>
      <c r="AT79" s="36"/>
      <c r="AU79" s="36"/>
      <c r="AV79" s="36"/>
      <c r="AW79" s="36"/>
      <c r="AX79" s="36"/>
      <c r="AY79" s="36"/>
      <c r="AZ79" s="36"/>
      <c r="BA79" s="36"/>
      <c r="BB79" s="36"/>
      <c r="BC79" s="36"/>
      <c r="BD79" s="36"/>
      <c r="BE79" s="36"/>
    </row>
    <row r="80" spans="2:57" s="30" customFormat="1" ht="15" x14ac:dyDescent="0.2">
      <c r="C80" s="33"/>
      <c r="D80" s="81"/>
      <c r="G80" s="33"/>
      <c r="H80" s="81"/>
      <c r="J80" s="32"/>
      <c r="K80" s="33"/>
      <c r="L80" s="33"/>
      <c r="M80" s="81"/>
      <c r="N80" s="81"/>
      <c r="O80" s="96"/>
      <c r="Q80" s="34"/>
      <c r="R80" s="102"/>
      <c r="S80" s="43"/>
      <c r="T80" s="43"/>
      <c r="U80" s="43"/>
      <c r="V80" s="43"/>
      <c r="W80" s="43"/>
      <c r="X80" s="43"/>
      <c r="Y80" s="43"/>
      <c r="Z80" s="43"/>
      <c r="AA80" s="43"/>
      <c r="AB80" s="43"/>
      <c r="AC80" s="43"/>
      <c r="AD80" s="43"/>
      <c r="AE80" s="43"/>
      <c r="AF80" s="43"/>
      <c r="AG80" s="43"/>
      <c r="AH80" s="43"/>
      <c r="AI80" s="43"/>
      <c r="AJ80" s="43"/>
      <c r="AK80" s="35"/>
      <c r="AL80" s="35"/>
      <c r="AM80" s="35"/>
      <c r="AN80" s="36"/>
      <c r="AO80" s="36"/>
      <c r="AP80" s="36"/>
      <c r="AQ80" s="36"/>
      <c r="AR80" s="36"/>
      <c r="AS80" s="36"/>
      <c r="AT80" s="36"/>
      <c r="AU80" s="36"/>
      <c r="AV80" s="36"/>
      <c r="AW80" s="36"/>
      <c r="AX80" s="36"/>
      <c r="AY80" s="36"/>
      <c r="AZ80" s="36"/>
      <c r="BA80" s="36"/>
      <c r="BB80" s="36"/>
      <c r="BC80" s="36"/>
      <c r="BD80" s="36"/>
      <c r="BE80" s="36"/>
    </row>
    <row r="81" spans="2:59" s="30" customFormat="1" ht="45" x14ac:dyDescent="0.2">
      <c r="B81" s="76" t="s">
        <v>606</v>
      </c>
      <c r="C81" s="471" t="s">
        <v>6</v>
      </c>
      <c r="D81" s="473"/>
      <c r="E81" s="33"/>
      <c r="F81" s="56"/>
      <c r="G81" s="33"/>
      <c r="H81" s="81"/>
      <c r="J81" s="32"/>
      <c r="K81" s="33"/>
      <c r="L81" s="33"/>
      <c r="M81" s="81"/>
      <c r="N81" s="81"/>
      <c r="O81" s="96"/>
      <c r="Q81" s="34"/>
      <c r="R81" s="102"/>
      <c r="S81" s="43"/>
      <c r="T81" s="43"/>
      <c r="U81" s="43"/>
      <c r="V81" s="43"/>
      <c r="W81" s="43"/>
      <c r="X81" s="43"/>
      <c r="Y81" s="43"/>
      <c r="Z81" s="43"/>
      <c r="AA81" s="43"/>
      <c r="AB81" s="43"/>
      <c r="AC81" s="43"/>
      <c r="AD81" s="43"/>
      <c r="AE81" s="43"/>
      <c r="AF81" s="43"/>
      <c r="AG81" s="43"/>
      <c r="AH81" s="43"/>
      <c r="AI81" s="43"/>
      <c r="AJ81" s="43"/>
      <c r="AK81" s="35"/>
      <c r="AL81" s="35"/>
      <c r="AM81" s="35"/>
      <c r="AN81" s="36"/>
      <c r="AO81" s="36"/>
      <c r="AP81" s="36"/>
      <c r="AQ81" s="36"/>
      <c r="AR81" s="36"/>
      <c r="AS81" s="36"/>
      <c r="AT81" s="36"/>
      <c r="AU81" s="36"/>
      <c r="AV81" s="36"/>
      <c r="AW81" s="36"/>
      <c r="AX81" s="36"/>
      <c r="AY81" s="36"/>
      <c r="AZ81" s="36"/>
      <c r="BA81" s="36"/>
      <c r="BB81" s="36"/>
      <c r="BC81" s="36"/>
      <c r="BD81" s="36"/>
      <c r="BE81" s="36"/>
    </row>
    <row r="82" spans="2:59" s="30" customFormat="1" ht="15" x14ac:dyDescent="0.2">
      <c r="C82" s="33"/>
      <c r="D82" s="81"/>
      <c r="G82" s="33"/>
      <c r="H82" s="81"/>
      <c r="J82" s="32"/>
      <c r="K82" s="33"/>
      <c r="L82" s="33"/>
      <c r="M82" s="81"/>
      <c r="N82" s="81"/>
      <c r="O82" s="81"/>
      <c r="Q82" s="34"/>
      <c r="R82" s="102"/>
      <c r="S82" s="43"/>
      <c r="T82" s="43"/>
      <c r="U82" s="43"/>
      <c r="V82" s="43"/>
      <c r="W82" s="43"/>
      <c r="X82" s="43"/>
      <c r="Y82" s="43"/>
      <c r="Z82" s="43"/>
      <c r="AA82" s="43"/>
      <c r="AB82" s="43"/>
      <c r="AC82" s="43"/>
      <c r="AD82" s="43"/>
      <c r="AE82" s="43"/>
      <c r="AF82" s="43"/>
      <c r="AG82" s="43"/>
      <c r="AH82" s="43"/>
      <c r="AI82" s="43"/>
      <c r="AJ82" s="43"/>
      <c r="AK82" s="35"/>
      <c r="AL82" s="35"/>
      <c r="AM82" s="35"/>
      <c r="AN82" s="36"/>
      <c r="AO82" s="36"/>
      <c r="AP82" s="36"/>
      <c r="AQ82" s="36"/>
      <c r="AR82" s="36"/>
      <c r="AS82" s="36"/>
      <c r="AT82" s="36"/>
      <c r="AU82" s="36"/>
      <c r="AV82" s="36"/>
      <c r="AW82" s="36"/>
      <c r="AX82" s="36"/>
      <c r="AY82" s="36"/>
      <c r="AZ82" s="36"/>
      <c r="BA82" s="36"/>
      <c r="BB82" s="36"/>
      <c r="BC82" s="36"/>
      <c r="BD82" s="36"/>
      <c r="BE82" s="36"/>
    </row>
    <row r="83" spans="2:59" s="289" customFormat="1" ht="18" x14ac:dyDescent="0.2">
      <c r="B83" s="286" t="s">
        <v>321</v>
      </c>
      <c r="C83" s="287"/>
      <c r="D83" s="288"/>
      <c r="G83" s="287"/>
      <c r="H83" s="288"/>
      <c r="K83" s="287"/>
      <c r="L83" s="287"/>
      <c r="M83" s="288"/>
      <c r="N83" s="288"/>
      <c r="O83" s="291"/>
      <c r="P83" s="311"/>
      <c r="Q83" s="295"/>
      <c r="S83" s="294"/>
      <c r="T83" s="294"/>
      <c r="U83" s="294"/>
      <c r="V83" s="294"/>
      <c r="W83" s="294"/>
      <c r="X83" s="294"/>
      <c r="Y83" s="294"/>
      <c r="Z83" s="294"/>
      <c r="AA83" s="294"/>
      <c r="AB83" s="294"/>
      <c r="AC83" s="294"/>
      <c r="AD83" s="294"/>
      <c r="AE83" s="294"/>
      <c r="AF83" s="294"/>
      <c r="AG83" s="294"/>
      <c r="AH83" s="294"/>
      <c r="AI83" s="294"/>
      <c r="AJ83" s="294"/>
      <c r="AK83" s="294"/>
      <c r="AL83" s="294"/>
      <c r="AM83" s="294"/>
      <c r="AN83" s="295"/>
      <c r="AO83" s="295"/>
      <c r="AP83" s="295"/>
      <c r="AQ83" s="295"/>
      <c r="AR83" s="295"/>
      <c r="AS83" s="295"/>
      <c r="AT83" s="295"/>
      <c r="AU83" s="295"/>
      <c r="AV83" s="295"/>
      <c r="AW83" s="295"/>
      <c r="AX83" s="295"/>
      <c r="AY83" s="295"/>
      <c r="AZ83" s="295"/>
      <c r="BA83" s="295"/>
      <c r="BB83" s="295"/>
      <c r="BC83" s="295"/>
      <c r="BD83" s="295"/>
      <c r="BE83" s="295"/>
    </row>
    <row r="84" spans="2:59" s="30" customFormat="1" ht="15.75" x14ac:dyDescent="0.2">
      <c r="B84" s="8"/>
      <c r="C84" s="33"/>
      <c r="D84" s="81"/>
      <c r="G84" s="37" t="s">
        <v>183</v>
      </c>
      <c r="H84" s="81"/>
      <c r="J84" s="32"/>
      <c r="K84" s="37" t="s">
        <v>297</v>
      </c>
      <c r="L84" s="37" t="s">
        <v>185</v>
      </c>
      <c r="M84" s="81"/>
      <c r="N84" s="81"/>
      <c r="O84" s="249" t="s">
        <v>584</v>
      </c>
      <c r="P84" s="37"/>
      <c r="Q84" s="34"/>
      <c r="R84" s="43" t="s">
        <v>318</v>
      </c>
      <c r="S84" s="43"/>
      <c r="T84" s="43" t="s">
        <v>343</v>
      </c>
      <c r="U84" s="43" t="s">
        <v>153</v>
      </c>
      <c r="V84" s="43" t="s">
        <v>323</v>
      </c>
      <c r="W84" s="220"/>
      <c r="X84" s="43"/>
      <c r="Y84" s="43"/>
      <c r="Z84" s="43"/>
      <c r="AA84" s="43"/>
      <c r="AB84" s="43"/>
      <c r="AC84" s="43"/>
      <c r="AD84" s="43"/>
      <c r="AE84" s="43"/>
      <c r="AF84" s="43"/>
      <c r="AG84" s="43"/>
      <c r="AH84" s="43"/>
      <c r="AI84" s="43"/>
      <c r="AJ84" s="43"/>
      <c r="AK84" s="35"/>
      <c r="AL84" s="35"/>
      <c r="AM84" s="35"/>
      <c r="AN84" s="36"/>
      <c r="AO84" s="36"/>
      <c r="AP84" s="36"/>
      <c r="AQ84" s="36"/>
      <c r="AR84" s="36"/>
      <c r="AS84" s="36"/>
      <c r="AT84" s="36"/>
      <c r="AU84" s="36"/>
      <c r="AV84" s="36"/>
      <c r="AW84" s="36"/>
      <c r="AX84" s="36"/>
      <c r="AY84" s="36"/>
      <c r="AZ84" s="36"/>
      <c r="BA84" s="36"/>
      <c r="BB84" s="36"/>
      <c r="BC84" s="36"/>
      <c r="BD84" s="36"/>
      <c r="BE84" s="36"/>
    </row>
    <row r="85" spans="2:59" s="30" customFormat="1" ht="15" x14ac:dyDescent="0.2">
      <c r="B85" s="159" t="s">
        <v>416</v>
      </c>
      <c r="C85" s="156"/>
      <c r="D85" s="88" t="s">
        <v>163</v>
      </c>
      <c r="G85" s="64">
        <v>1.8</v>
      </c>
      <c r="H85" s="81" t="s">
        <v>165</v>
      </c>
      <c r="J85" s="32" t="s">
        <v>322</v>
      </c>
      <c r="K85" s="92">
        <f>IF(ISNUMBER(L85),L85,VLOOKUP(B85,Materiaalit!$C$5:$M$16,7,FALSE))</f>
        <v>6.0000000000000001E-3</v>
      </c>
      <c r="L85" s="39"/>
      <c r="M85" s="40" t="s">
        <v>247</v>
      </c>
      <c r="N85" s="40"/>
      <c r="O85" s="250"/>
      <c r="P85" s="40"/>
      <c r="Q85" s="50"/>
      <c r="R85" s="213" t="str">
        <f>IF(ISNUMBER(K85*V85*1000),K85*V85*1000,"")</f>
        <v/>
      </c>
      <c r="S85" s="226" t="s">
        <v>160</v>
      </c>
      <c r="T85" s="213" t="str">
        <f>IF(ISBLANK(C85),"",IF(D85="t",C85,C85*G85))</f>
        <v/>
      </c>
      <c r="U85" s="211">
        <f>VLOOKUP(B85,Materiaalit!$C$5:$M$16,11,FALSE)</f>
        <v>1.05</v>
      </c>
      <c r="V85" s="213" t="str">
        <f>IF(ISNUMBER(U85*T85),U85*T85,"")</f>
        <v/>
      </c>
      <c r="W85" s="220"/>
      <c r="X85" s="43"/>
      <c r="Y85" s="43"/>
      <c r="Z85" s="43"/>
      <c r="AA85" s="43"/>
      <c r="AB85" s="43"/>
      <c r="AC85" s="43"/>
      <c r="AD85" s="43"/>
      <c r="AE85" s="43"/>
      <c r="AF85" s="43"/>
      <c r="AG85" s="43"/>
      <c r="AH85" s="43"/>
      <c r="AI85" s="43"/>
      <c r="AJ85" s="43"/>
      <c r="AK85" s="35"/>
      <c r="AL85" s="35"/>
      <c r="AM85" s="35"/>
      <c r="AN85" s="36"/>
      <c r="AO85" s="36"/>
      <c r="AP85" s="36"/>
      <c r="AQ85" s="36"/>
      <c r="AR85" s="36"/>
      <c r="AS85" s="36"/>
      <c r="AT85" s="36"/>
      <c r="AU85" s="36"/>
      <c r="AV85" s="36"/>
      <c r="AW85" s="36"/>
      <c r="AX85" s="36"/>
      <c r="AY85" s="36"/>
      <c r="AZ85" s="36"/>
      <c r="BA85" s="36"/>
      <c r="BB85" s="36"/>
      <c r="BC85" s="36"/>
      <c r="BD85" s="36"/>
      <c r="BE85" s="36"/>
    </row>
    <row r="86" spans="2:59" s="30" customFormat="1" ht="15" x14ac:dyDescent="0.2">
      <c r="B86" s="159" t="s">
        <v>415</v>
      </c>
      <c r="C86" s="156"/>
      <c r="D86" s="86" t="s">
        <v>163</v>
      </c>
      <c r="G86" s="65">
        <f>1/0.6</f>
        <v>1.6666666666666667</v>
      </c>
      <c r="H86" s="81" t="s">
        <v>165</v>
      </c>
      <c r="J86" s="32" t="s">
        <v>322</v>
      </c>
      <c r="K86" s="92">
        <f>IF(ISNUMBER(L86),L86,VLOOKUP(B86,Materiaalit!$C$5:$M$16,7,FALSE))</f>
        <v>6.0000000000000001E-3</v>
      </c>
      <c r="L86" s="39"/>
      <c r="M86" s="40" t="s">
        <v>247</v>
      </c>
      <c r="N86" s="40"/>
      <c r="O86" s="259"/>
      <c r="P86" s="40"/>
      <c r="Q86" s="50"/>
      <c r="R86" s="213" t="str">
        <f>IF(ISNUMBER(K86*V86*1000),K86*V86*1000,"")</f>
        <v/>
      </c>
      <c r="S86" s="226" t="s">
        <v>160</v>
      </c>
      <c r="T86" s="213" t="str">
        <f>IF(ISBLANK(C86),"",IF(D86="t",C86,C86*G86))</f>
        <v/>
      </c>
      <c r="U86" s="211">
        <f>VLOOKUP(B86,Materiaalit!$C$5:$M$16,11,FALSE)</f>
        <v>1.05</v>
      </c>
      <c r="V86" s="213" t="str">
        <f>IF(ISNUMBER(U86*T86),U86*T86,"")</f>
        <v/>
      </c>
      <c r="W86" s="220"/>
      <c r="X86" s="43"/>
      <c r="Y86" s="43"/>
      <c r="Z86" s="43"/>
      <c r="AA86" s="43"/>
      <c r="AB86" s="43"/>
      <c r="AC86" s="43"/>
      <c r="AD86" s="43"/>
      <c r="AE86" s="43"/>
      <c r="AF86" s="43"/>
      <c r="AG86" s="43"/>
      <c r="AH86" s="43"/>
      <c r="AI86" s="43"/>
      <c r="AJ86" s="43"/>
      <c r="AK86" s="35"/>
      <c r="AL86" s="35"/>
      <c r="AM86" s="35"/>
      <c r="AN86" s="36"/>
      <c r="AO86" s="36"/>
      <c r="AP86" s="36"/>
      <c r="AQ86" s="36"/>
      <c r="AR86" s="36"/>
      <c r="AS86" s="36"/>
      <c r="AT86" s="36"/>
      <c r="AU86" s="36"/>
      <c r="AV86" s="36"/>
      <c r="AW86" s="36"/>
      <c r="AX86" s="36"/>
      <c r="AY86" s="36"/>
      <c r="AZ86" s="36"/>
      <c r="BA86" s="36"/>
      <c r="BB86" s="36"/>
      <c r="BC86" s="36"/>
      <c r="BD86" s="36"/>
      <c r="BE86" s="36"/>
    </row>
    <row r="87" spans="2:59" s="30" customFormat="1" ht="15" x14ac:dyDescent="0.2">
      <c r="B87" s="159" t="s">
        <v>417</v>
      </c>
      <c r="C87" s="156"/>
      <c r="D87" s="89" t="s">
        <v>163</v>
      </c>
      <c r="G87" s="65">
        <f>1/0.6</f>
        <v>1.6666666666666667</v>
      </c>
      <c r="H87" s="81" t="s">
        <v>165</v>
      </c>
      <c r="J87" s="32" t="s">
        <v>322</v>
      </c>
      <c r="K87" s="92">
        <f>IF(ISNUMBER(L87),L87,VLOOKUP(B87,Materiaalit!$C$5:$M$16,7,FALSE))</f>
        <v>4.0000000000000001E-3</v>
      </c>
      <c r="L87" s="39"/>
      <c r="M87" s="40" t="s">
        <v>247</v>
      </c>
      <c r="N87" s="40"/>
      <c r="O87" s="259"/>
      <c r="P87" s="40"/>
      <c r="Q87" s="50"/>
      <c r="R87" s="213" t="str">
        <f>IF(ISNUMBER(K87*V87*1000),K87*V87*1000,"")</f>
        <v/>
      </c>
      <c r="S87" s="226" t="s">
        <v>160</v>
      </c>
      <c r="T87" s="213" t="str">
        <f>IF(ISBLANK(C87),"",IF(D87="t",C87,C87*G87))</f>
        <v/>
      </c>
      <c r="U87" s="211">
        <f>VLOOKUP(B87,Materiaalit!$C$5:$M$16,11,FALSE)</f>
        <v>1.05</v>
      </c>
      <c r="V87" s="213" t="str">
        <f>IF(ISNUMBER(U87*T87),U87*T87,"")</f>
        <v/>
      </c>
      <c r="W87" s="220"/>
      <c r="X87" s="43"/>
      <c r="Y87" s="43"/>
      <c r="Z87" s="43"/>
      <c r="AA87" s="43"/>
      <c r="AB87" s="43"/>
      <c r="AC87" s="43"/>
      <c r="AD87" s="43"/>
      <c r="AE87" s="43"/>
      <c r="AF87" s="43"/>
      <c r="AG87" s="43"/>
      <c r="AH87" s="43"/>
      <c r="AI87" s="43"/>
      <c r="AJ87" s="43"/>
      <c r="AK87" s="35"/>
      <c r="AL87" s="35"/>
      <c r="AM87" s="35"/>
      <c r="AN87" s="36"/>
      <c r="AO87" s="36"/>
      <c r="AP87" s="36"/>
      <c r="AQ87" s="36"/>
      <c r="AR87" s="36"/>
      <c r="AS87" s="36"/>
      <c r="AT87" s="36"/>
      <c r="AU87" s="36"/>
      <c r="AV87" s="36"/>
      <c r="AW87" s="36"/>
      <c r="AX87" s="36"/>
      <c r="AY87" s="36"/>
      <c r="AZ87" s="36"/>
      <c r="BA87" s="36"/>
      <c r="BB87" s="36"/>
      <c r="BC87" s="36"/>
      <c r="BD87" s="36"/>
      <c r="BE87" s="36"/>
    </row>
    <row r="88" spans="2:59" s="30" customFormat="1" ht="15" x14ac:dyDescent="0.2">
      <c r="B88" s="159" t="s">
        <v>418</v>
      </c>
      <c r="C88" s="156"/>
      <c r="D88" s="86" t="s">
        <v>163</v>
      </c>
      <c r="G88" s="65">
        <f>1/0.7</f>
        <v>1.4285714285714286</v>
      </c>
      <c r="H88" s="81" t="s">
        <v>165</v>
      </c>
      <c r="J88" s="32" t="s">
        <v>322</v>
      </c>
      <c r="K88" s="92">
        <f>IF(ISNUMBER(L88),L88,VLOOKUP(B88,Materiaalit!$C$5:$M$16,7,FALSE))</f>
        <v>4.0000000000000001E-3</v>
      </c>
      <c r="L88" s="39"/>
      <c r="M88" s="40" t="s">
        <v>247</v>
      </c>
      <c r="N88" s="40"/>
      <c r="O88" s="259"/>
      <c r="P88" s="40"/>
      <c r="Q88" s="50"/>
      <c r="R88" s="213" t="str">
        <f>IF(ISNUMBER(K88*V88*1000),K88*V88*1000,"")</f>
        <v/>
      </c>
      <c r="S88" s="226" t="s">
        <v>160</v>
      </c>
      <c r="T88" s="213" t="str">
        <f>IF(ISBLANK(C88),"",IF(D88="t",C88,C88*G88))</f>
        <v/>
      </c>
      <c r="U88" s="211">
        <f>VLOOKUP(B88,Materiaalit!$C$5:$M$16,11,FALSE)</f>
        <v>1.05</v>
      </c>
      <c r="V88" s="213" t="str">
        <f>IF(ISNUMBER(U88*T88),U88*T88,"")</f>
        <v/>
      </c>
      <c r="W88" s="220"/>
      <c r="X88" s="43"/>
      <c r="Y88" s="43"/>
      <c r="Z88" s="43"/>
      <c r="AA88" s="43"/>
      <c r="AB88" s="43"/>
      <c r="AC88" s="43"/>
      <c r="AD88" s="43"/>
      <c r="AE88" s="43"/>
      <c r="AF88" s="43"/>
      <c r="AG88" s="43"/>
      <c r="AH88" s="43"/>
      <c r="AI88" s="43"/>
      <c r="AJ88" s="43"/>
      <c r="AK88" s="35"/>
      <c r="AL88" s="35"/>
      <c r="AM88" s="35"/>
      <c r="AN88" s="36"/>
      <c r="AO88" s="36"/>
      <c r="AP88" s="36"/>
      <c r="AQ88" s="36"/>
      <c r="AR88" s="36"/>
      <c r="AS88" s="36"/>
      <c r="AT88" s="36"/>
      <c r="AU88" s="36"/>
      <c r="AV88" s="36"/>
      <c r="AW88" s="36"/>
      <c r="AX88" s="36"/>
      <c r="AY88" s="36"/>
      <c r="AZ88" s="36"/>
      <c r="BA88" s="36"/>
      <c r="BB88" s="36"/>
      <c r="BC88" s="36"/>
      <c r="BD88" s="36"/>
      <c r="BE88" s="36"/>
    </row>
    <row r="89" spans="2:59" s="30" customFormat="1" ht="15" x14ac:dyDescent="0.2">
      <c r="B89" s="151" t="s">
        <v>419</v>
      </c>
      <c r="C89" s="156"/>
      <c r="D89" s="86" t="s">
        <v>163</v>
      </c>
      <c r="G89" s="156"/>
      <c r="H89" s="81" t="s">
        <v>165</v>
      </c>
      <c r="J89" s="32" t="s">
        <v>322</v>
      </c>
      <c r="K89" s="92">
        <f>IF(ISNUMBER(L89),L89,Materiaalit!$I$18)</f>
        <v>5.0000000000000001E-3</v>
      </c>
      <c r="L89" s="39"/>
      <c r="M89" s="40" t="s">
        <v>247</v>
      </c>
      <c r="N89" s="40"/>
      <c r="O89" s="259"/>
      <c r="P89" s="40"/>
      <c r="Q89" s="50"/>
      <c r="R89" s="213" t="str">
        <f>IF(ISNUMBER(K89*V89*1000),K89*V89*1000,"")</f>
        <v/>
      </c>
      <c r="S89" s="226" t="s">
        <v>160</v>
      </c>
      <c r="T89" s="213" t="str">
        <f>IF(ISBLANK(C89),"",IF(D89="t",C89,C89*G89))</f>
        <v/>
      </c>
      <c r="U89" s="211">
        <f>Materiaalit!$M$18</f>
        <v>1.05</v>
      </c>
      <c r="V89" s="213" t="str">
        <f>IF(ISNUMBER(U89*T89),U89*T89,"")</f>
        <v/>
      </c>
      <c r="W89" s="220"/>
      <c r="X89" s="43"/>
      <c r="Y89" s="43"/>
      <c r="Z89" s="43"/>
      <c r="AA89" s="43"/>
      <c r="AB89" s="43"/>
      <c r="AC89" s="43"/>
      <c r="AD89" s="43"/>
      <c r="AE89" s="43"/>
      <c r="AF89" s="43"/>
      <c r="AG89" s="43"/>
      <c r="AH89" s="43"/>
      <c r="AI89" s="43"/>
      <c r="AJ89" s="43"/>
      <c r="AK89" s="35"/>
      <c r="AL89" s="35"/>
      <c r="AM89" s="35"/>
      <c r="AN89" s="36"/>
      <c r="AO89" s="36"/>
      <c r="AP89" s="36"/>
      <c r="AQ89" s="36"/>
      <c r="AR89" s="36"/>
      <c r="AS89" s="36"/>
      <c r="AT89" s="36"/>
      <c r="AU89" s="36"/>
      <c r="AV89" s="36"/>
      <c r="AW89" s="36"/>
      <c r="AX89" s="36"/>
      <c r="AY89" s="36"/>
      <c r="AZ89" s="36"/>
      <c r="BA89" s="36"/>
      <c r="BB89" s="36"/>
      <c r="BC89" s="36"/>
      <c r="BD89" s="36"/>
      <c r="BE89" s="36"/>
    </row>
    <row r="90" spans="2:59" s="30" customFormat="1" ht="15" x14ac:dyDescent="0.2">
      <c r="C90" s="33"/>
      <c r="D90" s="81"/>
      <c r="G90" s="33"/>
      <c r="H90" s="81"/>
      <c r="J90" s="32"/>
      <c r="K90" s="33"/>
      <c r="L90" s="33"/>
      <c r="M90" s="81"/>
      <c r="N90" s="81"/>
      <c r="O90" s="96"/>
      <c r="Q90" s="34"/>
      <c r="R90" s="102"/>
      <c r="S90" s="43"/>
      <c r="T90" s="43"/>
      <c r="U90" s="43"/>
      <c r="V90" s="43"/>
      <c r="W90" s="43"/>
      <c r="X90" s="43"/>
      <c r="Y90" s="43"/>
      <c r="Z90" s="43"/>
      <c r="AA90" s="43"/>
      <c r="AB90" s="43"/>
      <c r="AC90" s="43"/>
      <c r="AD90" s="43"/>
      <c r="AE90" s="43"/>
      <c r="AF90" s="43"/>
      <c r="AG90" s="43"/>
      <c r="AH90" s="43"/>
      <c r="AI90" s="43"/>
      <c r="AJ90" s="43"/>
      <c r="AK90" s="35"/>
      <c r="AL90" s="35"/>
      <c r="AM90" s="35"/>
      <c r="AN90" s="36"/>
      <c r="AO90" s="36"/>
      <c r="AP90" s="36"/>
      <c r="AQ90" s="36"/>
      <c r="AR90" s="36"/>
      <c r="AS90" s="36"/>
      <c r="AT90" s="36"/>
      <c r="AU90" s="36"/>
      <c r="AV90" s="36"/>
      <c r="AW90" s="36"/>
      <c r="AX90" s="36"/>
      <c r="AY90" s="36"/>
      <c r="AZ90" s="36"/>
      <c r="BA90" s="36"/>
      <c r="BB90" s="36"/>
      <c r="BC90" s="36"/>
      <c r="BD90" s="36"/>
      <c r="BE90" s="36"/>
    </row>
    <row r="91" spans="2:59" s="30" customFormat="1" ht="15" x14ac:dyDescent="0.2">
      <c r="B91" s="173" t="s">
        <v>540</v>
      </c>
      <c r="C91" s="33"/>
      <c r="D91" s="81"/>
      <c r="G91" s="33"/>
      <c r="H91" s="81"/>
      <c r="J91" s="32"/>
      <c r="K91" s="33"/>
      <c r="L91" s="33"/>
      <c r="M91" s="81"/>
      <c r="N91" s="81"/>
      <c r="O91" s="96"/>
      <c r="Q91" s="34"/>
      <c r="R91" s="102"/>
      <c r="S91" s="43"/>
      <c r="T91" s="43"/>
      <c r="U91" s="43"/>
      <c r="V91" s="43"/>
      <c r="W91" s="43"/>
      <c r="X91" s="43"/>
      <c r="Y91" s="43"/>
      <c r="Z91" s="43"/>
      <c r="AA91" s="43"/>
      <c r="AB91" s="43"/>
      <c r="AC91" s="43"/>
      <c r="AD91" s="43"/>
      <c r="AE91" s="43"/>
      <c r="AF91" s="43"/>
      <c r="AG91" s="43"/>
      <c r="AH91" s="43"/>
      <c r="AI91" s="43"/>
      <c r="AJ91" s="43"/>
      <c r="AK91" s="35"/>
      <c r="AL91" s="35"/>
      <c r="AM91" s="35"/>
      <c r="AN91" s="36"/>
      <c r="AO91" s="36"/>
      <c r="AP91" s="36"/>
      <c r="AQ91" s="36"/>
      <c r="AR91" s="36"/>
      <c r="AS91" s="36"/>
      <c r="AT91" s="36"/>
      <c r="AU91" s="36"/>
      <c r="AV91" s="36"/>
      <c r="AW91" s="36"/>
      <c r="AX91" s="36"/>
      <c r="AY91" s="36"/>
      <c r="AZ91" s="36"/>
      <c r="BA91" s="36"/>
      <c r="BB91" s="36"/>
      <c r="BC91" s="36"/>
      <c r="BD91" s="36"/>
      <c r="BE91" s="36"/>
    </row>
    <row r="92" spans="2:59" s="30" customFormat="1" ht="15" x14ac:dyDescent="0.2">
      <c r="C92" s="33"/>
      <c r="D92" s="81"/>
      <c r="G92" s="33"/>
      <c r="H92" s="81"/>
      <c r="J92" s="32"/>
      <c r="K92" s="33"/>
      <c r="L92" s="33"/>
      <c r="M92" s="81"/>
      <c r="N92" s="81"/>
      <c r="O92" s="81"/>
      <c r="Q92" s="34"/>
      <c r="R92" s="102"/>
      <c r="S92" s="43"/>
      <c r="T92" s="43"/>
      <c r="U92" s="43"/>
      <c r="V92" s="43"/>
      <c r="W92" s="43"/>
      <c r="X92" s="43"/>
      <c r="Y92" s="43"/>
      <c r="Z92" s="43"/>
      <c r="AA92" s="43"/>
      <c r="AB92" s="43"/>
      <c r="AC92" s="43"/>
      <c r="AD92" s="43"/>
      <c r="AE92" s="43"/>
      <c r="AF92" s="43"/>
      <c r="AG92" s="43"/>
      <c r="AH92" s="43"/>
      <c r="AI92" s="43"/>
      <c r="AJ92" s="43"/>
      <c r="AK92" s="35"/>
      <c r="AL92" s="35"/>
      <c r="AM92" s="35"/>
      <c r="AN92" s="36"/>
      <c r="AO92" s="36"/>
      <c r="AP92" s="36"/>
      <c r="AQ92" s="36"/>
      <c r="AR92" s="36"/>
      <c r="AS92" s="36"/>
      <c r="AT92" s="36"/>
      <c r="AU92" s="36"/>
      <c r="AV92" s="36"/>
      <c r="AW92" s="36"/>
      <c r="AX92" s="36"/>
      <c r="AY92" s="36"/>
      <c r="AZ92" s="36"/>
      <c r="BA92" s="36"/>
      <c r="BB92" s="36"/>
      <c r="BC92" s="36"/>
      <c r="BD92" s="36"/>
      <c r="BE92" s="36"/>
    </row>
    <row r="93" spans="2:59" s="289" customFormat="1" ht="18" x14ac:dyDescent="0.2">
      <c r="B93" s="286" t="s">
        <v>324</v>
      </c>
      <c r="C93" s="287"/>
      <c r="D93" s="288"/>
      <c r="G93" s="287"/>
      <c r="H93" s="288"/>
      <c r="K93" s="287"/>
      <c r="L93" s="287"/>
      <c r="M93" s="288"/>
      <c r="N93" s="288"/>
      <c r="O93" s="291"/>
      <c r="P93" s="311"/>
      <c r="Q93" s="295"/>
      <c r="S93" s="294"/>
      <c r="T93" s="294"/>
      <c r="U93" s="294"/>
      <c r="V93" s="294"/>
      <c r="W93" s="294"/>
      <c r="X93" s="294"/>
      <c r="Y93" s="294"/>
      <c r="Z93" s="294"/>
      <c r="AA93" s="294"/>
      <c r="AB93" s="294"/>
      <c r="AC93" s="294"/>
      <c r="AD93" s="294"/>
      <c r="AE93" s="294"/>
      <c r="AF93" s="294"/>
      <c r="AG93" s="294"/>
      <c r="AH93" s="294"/>
      <c r="AI93" s="294"/>
      <c r="AJ93" s="294"/>
      <c r="AK93" s="294"/>
      <c r="AL93" s="294"/>
      <c r="AM93" s="294"/>
      <c r="AN93" s="295"/>
      <c r="AO93" s="295"/>
      <c r="AP93" s="295"/>
      <c r="AQ93" s="295"/>
      <c r="AR93" s="295"/>
      <c r="AS93" s="295"/>
      <c r="AT93" s="295"/>
      <c r="AU93" s="295"/>
      <c r="AV93" s="295"/>
      <c r="AW93" s="295"/>
      <c r="AX93" s="295"/>
      <c r="AY93" s="295"/>
      <c r="AZ93" s="295"/>
      <c r="BA93" s="295"/>
      <c r="BB93" s="295"/>
      <c r="BC93" s="295"/>
      <c r="BD93" s="295"/>
      <c r="BE93" s="295"/>
    </row>
    <row r="94" spans="2:59" s="30" customFormat="1" ht="15.75" x14ac:dyDescent="0.2">
      <c r="B94" s="8"/>
      <c r="C94" s="33"/>
      <c r="D94" s="81"/>
      <c r="G94" s="37"/>
      <c r="H94" s="81"/>
      <c r="J94" s="32"/>
      <c r="K94" s="37"/>
      <c r="L94" s="37"/>
      <c r="M94" s="83"/>
      <c r="N94" s="83"/>
      <c r="O94" s="249" t="s">
        <v>584</v>
      </c>
      <c r="P94" s="37"/>
      <c r="Q94" s="34"/>
      <c r="R94" s="102"/>
      <c r="S94" s="43"/>
      <c r="T94" s="43"/>
      <c r="U94" s="43"/>
      <c r="V94" s="43"/>
      <c r="W94" s="43"/>
      <c r="X94" s="43"/>
      <c r="Y94" s="43"/>
      <c r="Z94" s="43"/>
      <c r="AA94" s="43"/>
      <c r="AB94" s="43"/>
      <c r="AC94" s="43"/>
      <c r="AD94" s="43"/>
      <c r="AE94" s="43"/>
      <c r="AF94" s="43"/>
      <c r="AG94" s="43"/>
      <c r="AH94" s="43"/>
      <c r="AI94" s="43"/>
      <c r="AJ94" s="43"/>
      <c r="AK94" s="35"/>
      <c r="AL94" s="35"/>
      <c r="AM94" s="35"/>
      <c r="AN94" s="36"/>
      <c r="AO94" s="36"/>
      <c r="AP94" s="36"/>
      <c r="AQ94" s="36"/>
      <c r="AR94" s="36"/>
      <c r="AS94" s="36"/>
      <c r="AT94" s="36"/>
      <c r="AU94" s="36"/>
      <c r="AV94" s="36"/>
      <c r="AW94" s="36"/>
      <c r="AX94" s="36"/>
      <c r="AY94" s="36"/>
      <c r="AZ94" s="36"/>
      <c r="BA94" s="36"/>
      <c r="BB94" s="36"/>
      <c r="BC94" s="36"/>
      <c r="BD94" s="36"/>
      <c r="BE94" s="36"/>
    </row>
    <row r="95" spans="2:59" s="30" customFormat="1" ht="15.75" x14ac:dyDescent="0.2">
      <c r="B95" s="91" t="str">
        <f>IF(LEFT(B85,5)="Louhe","Louhe",B85)</f>
        <v>Louhe</v>
      </c>
      <c r="C95" s="33"/>
      <c r="D95" s="81"/>
      <c r="G95" s="37" t="s">
        <v>183</v>
      </c>
      <c r="H95" s="81"/>
      <c r="I95" s="81"/>
      <c r="J95" s="32"/>
      <c r="K95" s="37" t="s">
        <v>297</v>
      </c>
      <c r="L95" s="37" t="s">
        <v>185</v>
      </c>
      <c r="M95" s="83"/>
      <c r="N95" s="83"/>
      <c r="O95" s="250"/>
      <c r="P95" s="144"/>
      <c r="Q95" s="36"/>
      <c r="R95" s="43" t="s">
        <v>318</v>
      </c>
      <c r="S95" s="43"/>
      <c r="T95" s="43" t="s">
        <v>400</v>
      </c>
      <c r="U95" s="43" t="s">
        <v>399</v>
      </c>
      <c r="V95" s="43" t="s">
        <v>397</v>
      </c>
      <c r="W95" s="43" t="s">
        <v>398</v>
      </c>
      <c r="X95" s="43" t="s">
        <v>401</v>
      </c>
      <c r="Y95" s="43" t="s">
        <v>403</v>
      </c>
      <c r="Z95" s="43" t="s">
        <v>402</v>
      </c>
      <c r="AA95" s="43" t="s">
        <v>186</v>
      </c>
      <c r="AB95" s="43" t="s">
        <v>345</v>
      </c>
      <c r="AC95" s="43" t="s">
        <v>404</v>
      </c>
      <c r="AD95" s="43" t="s">
        <v>346</v>
      </c>
      <c r="AE95" s="43" t="s">
        <v>405</v>
      </c>
      <c r="AF95" s="43" t="s">
        <v>406</v>
      </c>
      <c r="AG95" s="43" t="s">
        <v>578</v>
      </c>
      <c r="AH95" s="43" t="s">
        <v>190</v>
      </c>
      <c r="AI95" s="43" t="s">
        <v>249</v>
      </c>
      <c r="AJ95" s="43" t="s">
        <v>191</v>
      </c>
      <c r="AK95" s="104"/>
      <c r="AL95" s="35"/>
      <c r="AM95" s="35"/>
      <c r="AN95" s="36"/>
      <c r="AO95" s="36"/>
      <c r="AP95" s="36"/>
      <c r="AQ95" s="36"/>
      <c r="AR95" s="36"/>
      <c r="AS95" s="36"/>
      <c r="AT95" s="36"/>
      <c r="AU95" s="36"/>
      <c r="AV95" s="36"/>
      <c r="AW95" s="36"/>
      <c r="AX95" s="36"/>
      <c r="AY95" s="36"/>
      <c r="AZ95" s="36"/>
      <c r="BA95" s="36"/>
      <c r="BB95" s="36"/>
      <c r="BC95" s="36"/>
      <c r="BD95" s="36"/>
      <c r="BE95" s="36"/>
      <c r="BF95" s="104"/>
      <c r="BG95" s="104"/>
    </row>
    <row r="96" spans="2:59" s="30" customFormat="1" ht="30" x14ac:dyDescent="0.2">
      <c r="B96" s="44" t="s">
        <v>475</v>
      </c>
      <c r="C96" s="108" t="str">
        <f>IF(ISNUMBER(C85),C85,"")</f>
        <v/>
      </c>
      <c r="D96" s="109" t="str">
        <f>D85</f>
        <v>m3ktr</v>
      </c>
      <c r="G96" s="108">
        <f>IF(ISNUMBER(G85),G85,"")</f>
        <v>1.8</v>
      </c>
      <c r="H96" s="81" t="str">
        <f>IF(D96="t","t/t","t/m3")</f>
        <v>t/m3</v>
      </c>
      <c r="I96" s="81"/>
      <c r="J96" s="169" t="s">
        <v>395</v>
      </c>
      <c r="K96" s="92" t="str">
        <f>IFERROR(IF(ISNUMBER(L96),L96,(VLOOKUP(C97,Kalusto!$C$45:$G$84,5,FALSE)*VLOOKUP(C98,Muut!$D$40:$E$43,2,FALSE))),"--")</f>
        <v>--</v>
      </c>
      <c r="L96" s="39"/>
      <c r="M96" s="40" t="s">
        <v>184</v>
      </c>
      <c r="N96" s="40"/>
      <c r="O96" s="259"/>
      <c r="P96" s="145"/>
      <c r="Q96" s="100"/>
      <c r="R96" s="213" t="str">
        <f>IF(AND(NOT(ISNUMBER(AB96)),NOT(ISNUMBER(AG96))),"",IF(ISNUMBER(AB96),AB96,0)+IF(ISNUMBER(AG96),AG96,0))</f>
        <v/>
      </c>
      <c r="S96" s="226" t="s">
        <v>160</v>
      </c>
      <c r="T96" s="211" t="str">
        <f>IFERROR(IF(ISNUMBER(L96),"Kohdetieto",VLOOKUP(C97,Kalusto!$C$45:$L$84,7,FALSE)),"--")</f>
        <v>--</v>
      </c>
      <c r="U96" s="211" t="str">
        <f>IFERROR(IF(ISNUMBER(L96),"Kohdetieto",VLOOKUP(C97,Kalusto!$C$45:$L$84,8,FALSE)),"--")</f>
        <v>--</v>
      </c>
      <c r="V96" s="212" t="str">
        <f>IFERROR(IF(ISNUMBER(L96),"Kohdetieto",VLOOKUP(C97,Kalusto!$C$45:$L$84,9,FALSE)),"--")</f>
        <v>--</v>
      </c>
      <c r="W96" s="212" t="str">
        <f>IFERROR(IF(ISNUMBER(L96),"Kohdetieto",VLOOKUP(C97,Kalusto!$C$45:$L$84,10,FALSE)),"--")</f>
        <v>--</v>
      </c>
      <c r="X96" s="213" t="str">
        <f>IF(ISBLANK(C96),"",IF(D96="t",C96,IF(ISNUMBER(C96*G96),C96*G96,"")))</f>
        <v/>
      </c>
      <c r="Y96" s="211" t="str">
        <f>IF(ISNUMBER(C99),C99,"")</f>
        <v/>
      </c>
      <c r="Z96" s="213" t="str">
        <f>IF(ISNUMBER(X96/(U96*V96)*Y96),X96/(U96*V96)*Y96,"")</f>
        <v/>
      </c>
      <c r="AA96" s="214" t="str">
        <f>IF(ISNUMBER(L96),L96,K96)</f>
        <v>--</v>
      </c>
      <c r="AB96" s="213" t="str">
        <f>IF(ISNUMBER(Y96*X96*K96),Y96*X96*K96,"")</f>
        <v/>
      </c>
      <c r="AC96" s="213" t="str">
        <f>IF(C121="Kyllä",Y96,"")</f>
        <v/>
      </c>
      <c r="AD96" s="213" t="str">
        <f>IF(C121="Kyllä",IF(ISNUMBER(X96/(U96*V96)),X96/(U96*V96),""),"")</f>
        <v/>
      </c>
      <c r="AE96" s="213" t="str">
        <f>IF(ISNUMBER(AD96*AC96),AD96*AC96,"")</f>
        <v/>
      </c>
      <c r="AF96" s="214" t="str">
        <f>IF(ISNUMBER(L97),L97,K97)</f>
        <v>--</v>
      </c>
      <c r="AG96" s="213" t="str">
        <f>IF(ISNUMBER(AC96*AD96*K97),AC96*AD96*K97,"")</f>
        <v/>
      </c>
      <c r="AH96" s="211">
        <f>IF(T96="Jakelukuorma-auto",0,IF(T96="Maansiirtoauto",4,IF(T96="Puoliperävaunu",6,8)))</f>
        <v>8</v>
      </c>
      <c r="AI96" s="211">
        <f>IF(AND(T96="Jakelukuorma-auto",U96=6),0,IF(AND(T96="Jakelukuorma-auto",U96=15),2,0))</f>
        <v>0</v>
      </c>
      <c r="AJ96" s="211">
        <f>IF(W96="maantieajo",0,1)</f>
        <v>1</v>
      </c>
      <c r="AK96" s="104"/>
      <c r="AL96" s="35"/>
      <c r="AM96" s="35"/>
      <c r="AN96" s="36"/>
      <c r="AO96" s="36"/>
      <c r="AP96" s="36"/>
      <c r="AQ96" s="36"/>
      <c r="AR96" s="36"/>
      <c r="AS96" s="36"/>
      <c r="AT96" s="36"/>
      <c r="AU96" s="36"/>
      <c r="AV96" s="36"/>
      <c r="AW96" s="36"/>
      <c r="AX96" s="36"/>
      <c r="AY96" s="36"/>
      <c r="AZ96" s="36"/>
      <c r="BA96" s="36"/>
      <c r="BB96" s="36"/>
      <c r="BC96" s="36"/>
      <c r="BD96" s="36"/>
      <c r="BE96" s="36"/>
      <c r="BF96" s="104"/>
      <c r="BG96" s="104"/>
    </row>
    <row r="97" spans="2:59" s="30" customFormat="1" ht="30" x14ac:dyDescent="0.2">
      <c r="B97" s="166" t="s">
        <v>463</v>
      </c>
      <c r="C97" s="471" t="s">
        <v>298</v>
      </c>
      <c r="D97" s="472"/>
      <c r="E97" s="472"/>
      <c r="F97" s="472"/>
      <c r="G97" s="473"/>
      <c r="H97" s="81"/>
      <c r="I97" s="81"/>
      <c r="J97" s="32" t="s">
        <v>396</v>
      </c>
      <c r="K97" s="92" t="str">
        <f>IFERROR(IF(ISNUMBER(L97),L97,IF($C$121="Ei","",VLOOKUP(C97,Kalusto!$C$45:$U$84,19,FALSE)*VLOOKUP(C98,Muut!$D$40:$E$43,2,FALSE))),"--")</f>
        <v>--</v>
      </c>
      <c r="L97" s="39"/>
      <c r="M97" s="40" t="s">
        <v>188</v>
      </c>
      <c r="N97" s="40"/>
      <c r="O97" s="259"/>
      <c r="P97" s="143"/>
      <c r="Q97" s="101"/>
      <c r="R97" s="43"/>
      <c r="S97" s="43"/>
      <c r="T97" s="43"/>
      <c r="U97" s="43"/>
      <c r="V97" s="43"/>
      <c r="W97" s="43"/>
      <c r="X97" s="43"/>
      <c r="Y97" s="43"/>
      <c r="Z97" s="43"/>
      <c r="AA97" s="43"/>
      <c r="AB97" s="43"/>
      <c r="AC97" s="43"/>
      <c r="AD97" s="43"/>
      <c r="AE97" s="43"/>
      <c r="AF97" s="43"/>
      <c r="AG97" s="43"/>
      <c r="AH97" s="43"/>
      <c r="AI97" s="43"/>
      <c r="AJ97" s="43"/>
      <c r="AK97" s="104"/>
      <c r="AL97" s="35"/>
      <c r="AM97" s="35"/>
      <c r="AN97" s="36"/>
      <c r="AO97" s="36"/>
      <c r="AP97" s="36"/>
      <c r="AQ97" s="36"/>
      <c r="AR97" s="36"/>
      <c r="AS97" s="36"/>
      <c r="AT97" s="36"/>
      <c r="AU97" s="36"/>
      <c r="AV97" s="36"/>
      <c r="AW97" s="36"/>
      <c r="AX97" s="36"/>
      <c r="AY97" s="36"/>
      <c r="AZ97" s="36"/>
      <c r="BA97" s="36"/>
      <c r="BB97" s="36"/>
      <c r="BC97" s="36"/>
      <c r="BD97" s="36"/>
      <c r="BE97" s="36"/>
      <c r="BF97" s="104"/>
      <c r="BG97" s="104"/>
    </row>
    <row r="98" spans="2:59" s="30" customFormat="1" ht="15" x14ac:dyDescent="0.2">
      <c r="B98" s="182" t="s">
        <v>457</v>
      </c>
      <c r="C98" s="156" t="s">
        <v>309</v>
      </c>
      <c r="D98" s="33"/>
      <c r="E98" s="33"/>
      <c r="F98" s="33"/>
      <c r="G98" s="33"/>
      <c r="H98" s="57"/>
      <c r="J98" s="169"/>
      <c r="K98" s="169"/>
      <c r="L98" s="169"/>
      <c r="M98" s="40"/>
      <c r="N98" s="40"/>
      <c r="O98" s="259"/>
      <c r="Q98" s="45"/>
      <c r="R98" s="226"/>
      <c r="S98" s="226"/>
      <c r="T98" s="43"/>
      <c r="U98" s="43"/>
      <c r="V98" s="215"/>
      <c r="W98" s="215"/>
      <c r="X98" s="216"/>
      <c r="Y98" s="43"/>
      <c r="Z98" s="216"/>
      <c r="AA98" s="217"/>
      <c r="AB98" s="216"/>
      <c r="AC98" s="216"/>
      <c r="AD98" s="216"/>
      <c r="AE98" s="216"/>
      <c r="AF98" s="217"/>
      <c r="AG98" s="216"/>
      <c r="AH98" s="43"/>
      <c r="AI98" s="43"/>
      <c r="AJ98" s="43"/>
      <c r="AK98" s="104"/>
      <c r="AL98" s="35"/>
      <c r="AM98" s="35"/>
      <c r="AN98" s="36"/>
      <c r="AO98" s="36"/>
      <c r="AP98" s="36"/>
      <c r="AQ98" s="36"/>
      <c r="AR98" s="36"/>
      <c r="AS98" s="36"/>
      <c r="AT98" s="36"/>
      <c r="AU98" s="36"/>
      <c r="AV98" s="36"/>
      <c r="AW98" s="36"/>
      <c r="AX98" s="36"/>
      <c r="AY98" s="36"/>
      <c r="AZ98" s="36"/>
      <c r="BA98" s="36"/>
      <c r="BB98" s="36"/>
      <c r="BC98" s="36"/>
      <c r="BD98" s="36"/>
      <c r="BE98" s="36"/>
    </row>
    <row r="99" spans="2:59" s="30" customFormat="1" ht="15" x14ac:dyDescent="0.2">
      <c r="B99" s="44" t="s">
        <v>474</v>
      </c>
      <c r="C99" s="158"/>
      <c r="D99" s="81" t="s">
        <v>5</v>
      </c>
      <c r="G99" s="33"/>
      <c r="H99" s="81"/>
      <c r="I99" s="81"/>
      <c r="J99" s="32"/>
      <c r="K99" s="33"/>
      <c r="L99" s="33"/>
      <c r="M99" s="81"/>
      <c r="N99" s="81"/>
      <c r="O99" s="96"/>
      <c r="P99" s="146"/>
      <c r="Q99" s="101"/>
      <c r="R99" s="43"/>
      <c r="S99" s="43"/>
      <c r="T99" s="43"/>
      <c r="U99" s="43"/>
      <c r="V99" s="43"/>
      <c r="W99" s="43"/>
      <c r="X99" s="43"/>
      <c r="Y99" s="43"/>
      <c r="Z99" s="43"/>
      <c r="AA99" s="43"/>
      <c r="AB99" s="43"/>
      <c r="AC99" s="43"/>
      <c r="AD99" s="43"/>
      <c r="AE99" s="43"/>
      <c r="AF99" s="43"/>
      <c r="AG99" s="43"/>
      <c r="AH99" s="43"/>
      <c r="AI99" s="43"/>
      <c r="AJ99" s="43"/>
      <c r="AK99" s="104"/>
      <c r="AL99" s="35"/>
      <c r="AM99" s="35"/>
      <c r="AN99" s="36"/>
      <c r="AO99" s="36"/>
      <c r="AP99" s="36"/>
      <c r="AQ99" s="36"/>
      <c r="AR99" s="36"/>
      <c r="AS99" s="36"/>
      <c r="AT99" s="36"/>
      <c r="AU99" s="36"/>
      <c r="AV99" s="36"/>
      <c r="AW99" s="36"/>
      <c r="AX99" s="36"/>
      <c r="AY99" s="36"/>
      <c r="AZ99" s="36"/>
      <c r="BA99" s="36"/>
      <c r="BB99" s="36"/>
      <c r="BC99" s="36"/>
      <c r="BD99" s="36"/>
      <c r="BE99" s="36"/>
      <c r="BF99" s="104"/>
      <c r="BG99" s="104"/>
    </row>
    <row r="100" spans="2:59" s="30" customFormat="1" ht="15.75" x14ac:dyDescent="0.2">
      <c r="B100" s="91" t="str">
        <f>IF(LEFT(B86,6)="Murske","Murske",B86)</f>
        <v>Murske</v>
      </c>
      <c r="C100" s="33"/>
      <c r="D100" s="81"/>
      <c r="G100" s="33"/>
      <c r="H100" s="81"/>
      <c r="I100" s="81"/>
      <c r="J100" s="32"/>
      <c r="K100" s="37" t="s">
        <v>297</v>
      </c>
      <c r="L100" s="37" t="s">
        <v>185</v>
      </c>
      <c r="M100" s="83"/>
      <c r="N100" s="83"/>
      <c r="O100" s="260"/>
      <c r="P100" s="144"/>
      <c r="Q100" s="36"/>
      <c r="R100" s="43" t="s">
        <v>318</v>
      </c>
      <c r="S100" s="43"/>
      <c r="T100" s="43" t="s">
        <v>400</v>
      </c>
      <c r="U100" s="43" t="s">
        <v>399</v>
      </c>
      <c r="V100" s="43" t="s">
        <v>397</v>
      </c>
      <c r="W100" s="43" t="s">
        <v>398</v>
      </c>
      <c r="X100" s="43" t="s">
        <v>401</v>
      </c>
      <c r="Y100" s="43" t="s">
        <v>403</v>
      </c>
      <c r="Z100" s="43" t="s">
        <v>402</v>
      </c>
      <c r="AA100" s="43" t="s">
        <v>186</v>
      </c>
      <c r="AB100" s="43" t="s">
        <v>345</v>
      </c>
      <c r="AC100" s="43" t="s">
        <v>404</v>
      </c>
      <c r="AD100" s="43" t="s">
        <v>346</v>
      </c>
      <c r="AE100" s="43" t="s">
        <v>405</v>
      </c>
      <c r="AF100" s="43" t="s">
        <v>406</v>
      </c>
      <c r="AG100" s="43" t="s">
        <v>578</v>
      </c>
      <c r="AH100" s="43" t="s">
        <v>190</v>
      </c>
      <c r="AI100" s="43" t="s">
        <v>249</v>
      </c>
      <c r="AJ100" s="43" t="s">
        <v>191</v>
      </c>
      <c r="AK100" s="104"/>
      <c r="AL100" s="35"/>
      <c r="AM100" s="35"/>
      <c r="AN100" s="36"/>
      <c r="AO100" s="36"/>
      <c r="AP100" s="36"/>
      <c r="AQ100" s="36"/>
      <c r="AR100" s="36"/>
      <c r="AS100" s="36"/>
      <c r="AT100" s="36"/>
      <c r="AU100" s="36"/>
      <c r="AV100" s="36"/>
      <c r="AW100" s="36"/>
      <c r="AX100" s="36"/>
      <c r="AY100" s="36"/>
      <c r="AZ100" s="36"/>
      <c r="BA100" s="36"/>
      <c r="BB100" s="36"/>
      <c r="BC100" s="36"/>
      <c r="BD100" s="36"/>
      <c r="BE100" s="36"/>
      <c r="BF100" s="104"/>
      <c r="BG100" s="104"/>
    </row>
    <row r="101" spans="2:59" s="30" customFormat="1" ht="30" x14ac:dyDescent="0.2">
      <c r="B101" s="44" t="s">
        <v>475</v>
      </c>
      <c r="C101" s="108" t="str">
        <f>IF(ISNUMBER(C86),C86,"")</f>
        <v/>
      </c>
      <c r="D101" s="109" t="str">
        <f>D86</f>
        <v>m3ktr</v>
      </c>
      <c r="G101" s="108">
        <f>IF(ISNUMBER(G86),G86,"")</f>
        <v>1.6666666666666667</v>
      </c>
      <c r="H101" s="81" t="str">
        <f>IF(D101="t","t/t","t/m3")</f>
        <v>t/m3</v>
      </c>
      <c r="I101" s="81"/>
      <c r="J101" s="169" t="s">
        <v>395</v>
      </c>
      <c r="K101" s="92" t="str">
        <f>IFERROR(IF(ISNUMBER(L101),L101,(VLOOKUP(C102,Kalusto!$C$45:$G$84,5,FALSE)*VLOOKUP(C103,Muut!$D$40:$E$43,2,FALSE))),"--")</f>
        <v>--</v>
      </c>
      <c r="L101" s="39"/>
      <c r="M101" s="40" t="s">
        <v>184</v>
      </c>
      <c r="N101" s="40"/>
      <c r="O101" s="259"/>
      <c r="P101" s="145"/>
      <c r="Q101" s="100"/>
      <c r="R101" s="213" t="str">
        <f>IF(AND(NOT(ISNUMBER(AB101)),NOT(ISNUMBER(AG101))),"",IF(ISNUMBER(AB101),AB101,0)+IF(ISNUMBER(AG101),AG101,0))</f>
        <v/>
      </c>
      <c r="S101" s="226" t="s">
        <v>160</v>
      </c>
      <c r="T101" s="211" t="str">
        <f>IFERROR(IF(ISNUMBER(L101),"Kohdetieto",VLOOKUP(C102,Kalusto!$C$45:$L$84,7,FALSE)),"--")</f>
        <v>--</v>
      </c>
      <c r="U101" s="211" t="str">
        <f>IFERROR(IF(ISNUMBER(L101),"Kohdetieto",VLOOKUP(C102,Kalusto!$C$45:$L$84,8,FALSE)),"--")</f>
        <v>--</v>
      </c>
      <c r="V101" s="212" t="str">
        <f>IFERROR(IF(ISNUMBER(L101),"Kohdetieto",VLOOKUP(C102,Kalusto!$C$45:$L$84,9,FALSE)),"--")</f>
        <v>--</v>
      </c>
      <c r="W101" s="212" t="str">
        <f>IFERROR(IF(ISNUMBER(L101),"Kohdetieto",VLOOKUP(C102,Kalusto!$C$45:$L$84,10,FALSE)),"--")</f>
        <v>--</v>
      </c>
      <c r="X101" s="213" t="str">
        <f>IF(ISBLANK(C101),"",IF(D101="t",C101,IF(ISNUMBER(C101*G101),C101*G101,"")))</f>
        <v/>
      </c>
      <c r="Y101" s="211" t="str">
        <f>IF(ISNUMBER(C104),C104,"")</f>
        <v/>
      </c>
      <c r="Z101" s="213" t="str">
        <f>IF(ISNUMBER(X101/(U101*V101)*Y101),X101/(U101*V101)*Y101,"")</f>
        <v/>
      </c>
      <c r="AA101" s="214" t="str">
        <f>IF(ISNUMBER(L101),L101,K101)</f>
        <v>--</v>
      </c>
      <c r="AB101" s="213" t="str">
        <f>IF(ISNUMBER(Y101*X101*K101),Y101*X101*K101,"")</f>
        <v/>
      </c>
      <c r="AC101" s="213" t="str">
        <f>IF(C121="Kyllä",Y101,"")</f>
        <v/>
      </c>
      <c r="AD101" s="213" t="str">
        <f>IF(C121="Kyllä",IF(ISNUMBER(X101/(U101*V101)),X101/(U101*V101),""),"")</f>
        <v/>
      </c>
      <c r="AE101" s="213" t="str">
        <f>IF(ISNUMBER(AD101*AC101),AD101*AC101,"")</f>
        <v/>
      </c>
      <c r="AF101" s="214" t="str">
        <f>IF(ISNUMBER(L102),L102,K102)</f>
        <v>--</v>
      </c>
      <c r="AG101" s="213" t="str">
        <f>IF(ISNUMBER(AC101*AD101*K102),AC101*AD101*K102,"")</f>
        <v/>
      </c>
      <c r="AH101" s="211">
        <f>IF(T101="Jakelukuorma-auto",0,IF(T101="Maansiirtoauto",4,IF(T101="Puoliperävaunu",6,8)))</f>
        <v>8</v>
      </c>
      <c r="AI101" s="211">
        <f>IF(AND(T101="Jakelukuorma-auto",U101=6),0,IF(AND(T101="Jakelukuorma-auto",U101=15),2,0))</f>
        <v>0</v>
      </c>
      <c r="AJ101" s="211">
        <f>IF(W101="maantieajo",0,1)</f>
        <v>1</v>
      </c>
      <c r="AK101" s="104"/>
      <c r="AL101" s="35"/>
      <c r="AM101" s="35"/>
      <c r="AN101" s="36"/>
      <c r="AO101" s="36"/>
      <c r="AP101" s="36"/>
      <c r="AQ101" s="36"/>
      <c r="AR101" s="36"/>
      <c r="AS101" s="36"/>
      <c r="AT101" s="36"/>
      <c r="AU101" s="36"/>
      <c r="AV101" s="36"/>
      <c r="AW101" s="36"/>
      <c r="AX101" s="36"/>
      <c r="AY101" s="36"/>
      <c r="AZ101" s="36"/>
      <c r="BA101" s="36"/>
      <c r="BB101" s="36"/>
      <c r="BC101" s="36"/>
      <c r="BD101" s="36"/>
      <c r="BE101" s="36"/>
      <c r="BF101" s="104"/>
      <c r="BG101" s="104"/>
    </row>
    <row r="102" spans="2:59" s="30" customFormat="1" ht="30" x14ac:dyDescent="0.2">
      <c r="B102" s="166" t="s">
        <v>463</v>
      </c>
      <c r="C102" s="471" t="s">
        <v>298</v>
      </c>
      <c r="D102" s="472"/>
      <c r="E102" s="472"/>
      <c r="F102" s="472"/>
      <c r="G102" s="473"/>
      <c r="H102" s="81"/>
      <c r="I102" s="81"/>
      <c r="J102" s="32" t="s">
        <v>396</v>
      </c>
      <c r="K102" s="92" t="str">
        <f>IFERROR(IF(ISNUMBER(L102),L102,IF($C$121="Ei","",VLOOKUP(C102,Kalusto!$C$45:$U$84,19,FALSE)*VLOOKUP(C103,Muut!$D$40:$E$43,2,FALSE))),"--")</f>
        <v>--</v>
      </c>
      <c r="L102" s="39"/>
      <c r="M102" s="40" t="s">
        <v>188</v>
      </c>
      <c r="N102" s="40"/>
      <c r="O102" s="259"/>
      <c r="P102" s="143"/>
      <c r="Q102" s="101"/>
      <c r="R102" s="43"/>
      <c r="S102" s="43"/>
      <c r="T102" s="43"/>
      <c r="U102" s="43"/>
      <c r="V102" s="43"/>
      <c r="W102" s="43"/>
      <c r="X102" s="43"/>
      <c r="Y102" s="43"/>
      <c r="Z102" s="43"/>
      <c r="AA102" s="43"/>
      <c r="AB102" s="43"/>
      <c r="AC102" s="43"/>
      <c r="AD102" s="43"/>
      <c r="AE102" s="43"/>
      <c r="AF102" s="43"/>
      <c r="AG102" s="43"/>
      <c r="AH102" s="43"/>
      <c r="AI102" s="43"/>
      <c r="AJ102" s="43"/>
      <c r="AK102" s="104"/>
      <c r="AL102" s="35"/>
      <c r="AM102" s="35"/>
      <c r="AN102" s="36"/>
      <c r="AO102" s="36"/>
      <c r="AP102" s="36"/>
      <c r="AQ102" s="36"/>
      <c r="AR102" s="36"/>
      <c r="AS102" s="36"/>
      <c r="AT102" s="36"/>
      <c r="AU102" s="36"/>
      <c r="AV102" s="36"/>
      <c r="AW102" s="36"/>
      <c r="AX102" s="36"/>
      <c r="AY102" s="36"/>
      <c r="AZ102" s="36"/>
      <c r="BA102" s="36"/>
      <c r="BB102" s="36"/>
      <c r="BC102" s="36"/>
      <c r="BD102" s="36"/>
      <c r="BE102" s="36"/>
      <c r="BF102" s="104"/>
      <c r="BG102" s="104"/>
    </row>
    <row r="103" spans="2:59" s="30" customFormat="1" ht="15" x14ac:dyDescent="0.2">
      <c r="B103" s="182" t="s">
        <v>457</v>
      </c>
      <c r="C103" s="156" t="s">
        <v>309</v>
      </c>
      <c r="D103" s="33"/>
      <c r="E103" s="33"/>
      <c r="F103" s="33"/>
      <c r="G103" s="33"/>
      <c r="H103" s="57"/>
      <c r="J103" s="169"/>
      <c r="K103" s="169"/>
      <c r="L103" s="169"/>
      <c r="M103" s="40"/>
      <c r="N103" s="40"/>
      <c r="O103" s="259"/>
      <c r="Q103" s="45"/>
      <c r="R103" s="226"/>
      <c r="S103" s="226"/>
      <c r="T103" s="43"/>
      <c r="U103" s="43"/>
      <c r="V103" s="215"/>
      <c r="W103" s="215"/>
      <c r="X103" s="216"/>
      <c r="Y103" s="43"/>
      <c r="Z103" s="216"/>
      <c r="AA103" s="217"/>
      <c r="AB103" s="216"/>
      <c r="AC103" s="216"/>
      <c r="AD103" s="216"/>
      <c r="AE103" s="216"/>
      <c r="AF103" s="217"/>
      <c r="AG103" s="216"/>
      <c r="AH103" s="43"/>
      <c r="AI103" s="43"/>
      <c r="AJ103" s="43"/>
      <c r="AK103" s="104"/>
      <c r="AL103" s="35"/>
      <c r="AM103" s="35"/>
      <c r="AN103" s="36"/>
      <c r="AO103" s="36"/>
      <c r="AP103" s="36"/>
      <c r="AQ103" s="36"/>
      <c r="AR103" s="36"/>
      <c r="AS103" s="36"/>
      <c r="AT103" s="36"/>
      <c r="AU103" s="36"/>
      <c r="AV103" s="36"/>
      <c r="AW103" s="36"/>
      <c r="AX103" s="36"/>
      <c r="AY103" s="36"/>
      <c r="AZ103" s="36"/>
      <c r="BA103" s="36"/>
      <c r="BB103" s="36"/>
      <c r="BC103" s="36"/>
      <c r="BD103" s="36"/>
      <c r="BE103" s="36"/>
    </row>
    <row r="104" spans="2:59" s="30" customFormat="1" ht="15" x14ac:dyDescent="0.2">
      <c r="B104" s="44" t="s">
        <v>474</v>
      </c>
      <c r="C104" s="158"/>
      <c r="D104" s="81" t="s">
        <v>5</v>
      </c>
      <c r="G104" s="33"/>
      <c r="H104" s="81"/>
      <c r="I104" s="81"/>
      <c r="J104" s="32"/>
      <c r="K104" s="33"/>
      <c r="L104" s="33"/>
      <c r="M104" s="81"/>
      <c r="N104" s="81"/>
      <c r="O104" s="96"/>
      <c r="P104" s="146"/>
      <c r="Q104" s="101"/>
      <c r="R104" s="43"/>
      <c r="S104" s="43"/>
      <c r="T104" s="43"/>
      <c r="U104" s="43"/>
      <c r="V104" s="43"/>
      <c r="W104" s="43"/>
      <c r="X104" s="43"/>
      <c r="Y104" s="43"/>
      <c r="Z104" s="43"/>
      <c r="AA104" s="43"/>
      <c r="AB104" s="43"/>
      <c r="AC104" s="43"/>
      <c r="AD104" s="43"/>
      <c r="AE104" s="43"/>
      <c r="AF104" s="43"/>
      <c r="AG104" s="43"/>
      <c r="AH104" s="43"/>
      <c r="AI104" s="43"/>
      <c r="AJ104" s="43"/>
      <c r="AK104" s="104"/>
      <c r="AL104" s="35"/>
      <c r="AM104" s="35"/>
      <c r="AN104" s="36"/>
      <c r="AO104" s="36"/>
      <c r="AP104" s="36"/>
      <c r="AQ104" s="36"/>
      <c r="AR104" s="36"/>
      <c r="AS104" s="36"/>
      <c r="AT104" s="36"/>
      <c r="AU104" s="36"/>
      <c r="AV104" s="36"/>
      <c r="AW104" s="36"/>
      <c r="AX104" s="36"/>
      <c r="AY104" s="36"/>
      <c r="AZ104" s="36"/>
      <c r="BA104" s="36"/>
      <c r="BB104" s="36"/>
      <c r="BC104" s="36"/>
      <c r="BD104" s="36"/>
      <c r="BE104" s="36"/>
      <c r="BF104" s="104"/>
      <c r="BG104" s="104"/>
    </row>
    <row r="105" spans="2:59" s="30" customFormat="1" ht="15.75" x14ac:dyDescent="0.2">
      <c r="B105" s="91" t="str">
        <f>IF(LEFT(B87,4)="Sora","Sora",B87)</f>
        <v>Sora</v>
      </c>
      <c r="C105" s="33"/>
      <c r="D105" s="81"/>
      <c r="G105" s="33"/>
      <c r="H105" s="81"/>
      <c r="I105" s="81"/>
      <c r="J105" s="32"/>
      <c r="K105" s="37" t="s">
        <v>297</v>
      </c>
      <c r="L105" s="37" t="s">
        <v>185</v>
      </c>
      <c r="M105" s="83"/>
      <c r="N105" s="83"/>
      <c r="O105" s="260"/>
      <c r="P105" s="144"/>
      <c r="Q105" s="36"/>
      <c r="R105" s="43" t="s">
        <v>318</v>
      </c>
      <c r="S105" s="43"/>
      <c r="T105" s="43" t="s">
        <v>400</v>
      </c>
      <c r="U105" s="43" t="s">
        <v>399</v>
      </c>
      <c r="V105" s="43" t="s">
        <v>397</v>
      </c>
      <c r="W105" s="43" t="s">
        <v>398</v>
      </c>
      <c r="X105" s="43" t="s">
        <v>401</v>
      </c>
      <c r="Y105" s="43" t="s">
        <v>403</v>
      </c>
      <c r="Z105" s="43" t="s">
        <v>402</v>
      </c>
      <c r="AA105" s="43" t="s">
        <v>186</v>
      </c>
      <c r="AB105" s="43" t="s">
        <v>345</v>
      </c>
      <c r="AC105" s="43" t="s">
        <v>404</v>
      </c>
      <c r="AD105" s="43" t="s">
        <v>346</v>
      </c>
      <c r="AE105" s="43" t="s">
        <v>405</v>
      </c>
      <c r="AF105" s="43" t="s">
        <v>406</v>
      </c>
      <c r="AG105" s="43" t="s">
        <v>578</v>
      </c>
      <c r="AH105" s="43" t="s">
        <v>190</v>
      </c>
      <c r="AI105" s="43" t="s">
        <v>249</v>
      </c>
      <c r="AJ105" s="43" t="s">
        <v>191</v>
      </c>
      <c r="AK105" s="104"/>
      <c r="AL105" s="35"/>
      <c r="AM105" s="35"/>
      <c r="AN105" s="36"/>
      <c r="AO105" s="36"/>
      <c r="AP105" s="36"/>
      <c r="AQ105" s="36"/>
      <c r="AR105" s="36"/>
      <c r="AS105" s="36"/>
      <c r="AT105" s="36"/>
      <c r="AU105" s="36"/>
      <c r="AV105" s="36"/>
      <c r="AW105" s="36"/>
      <c r="AX105" s="36"/>
      <c r="AY105" s="36"/>
      <c r="AZ105" s="36"/>
      <c r="BA105" s="36"/>
      <c r="BB105" s="36"/>
      <c r="BC105" s="36"/>
      <c r="BD105" s="36"/>
      <c r="BE105" s="36"/>
      <c r="BF105" s="104"/>
      <c r="BG105" s="104"/>
    </row>
    <row r="106" spans="2:59" s="30" customFormat="1" ht="30" x14ac:dyDescent="0.2">
      <c r="B106" s="44" t="s">
        <v>475</v>
      </c>
      <c r="C106" s="108" t="str">
        <f>IF(ISNUMBER(C87),C87,"")</f>
        <v/>
      </c>
      <c r="D106" s="109" t="str">
        <f>D87</f>
        <v>m3ktr</v>
      </c>
      <c r="G106" s="108">
        <f>IF(ISNUMBER(G87),G87,"")</f>
        <v>1.6666666666666667</v>
      </c>
      <c r="H106" s="81" t="str">
        <f>IF(D106="t","t/t","t/m3")</f>
        <v>t/m3</v>
      </c>
      <c r="I106" s="81"/>
      <c r="J106" s="169" t="s">
        <v>395</v>
      </c>
      <c r="K106" s="92" t="str">
        <f>IFERROR(IF(ISNUMBER(L106),L106,(VLOOKUP(C107,Kalusto!$C$45:$G$84,5,FALSE)*VLOOKUP(C108,Muut!$D$40:$E$43,2,FALSE))),"--")</f>
        <v>--</v>
      </c>
      <c r="L106" s="39"/>
      <c r="M106" s="40" t="s">
        <v>184</v>
      </c>
      <c r="N106" s="40"/>
      <c r="O106" s="259"/>
      <c r="P106" s="145"/>
      <c r="Q106" s="100"/>
      <c r="R106" s="213" t="str">
        <f>IF(AND(NOT(ISNUMBER(AB106)),NOT(ISNUMBER(AG106))),"",IF(ISNUMBER(AB106),AB106,0)+IF(ISNUMBER(AG106),AG106,0))</f>
        <v/>
      </c>
      <c r="S106" s="226" t="s">
        <v>160</v>
      </c>
      <c r="T106" s="211" t="str">
        <f>IFERROR(IF(ISNUMBER(L106),"Kohdetieto",VLOOKUP(C107,Kalusto!$C$45:$L$84,7,FALSE)),"--")</f>
        <v>--</v>
      </c>
      <c r="U106" s="211" t="str">
        <f>IFERROR(IF(ISNUMBER(L106),"Kohdetieto",VLOOKUP(C107,Kalusto!$C$45:$L$84,8,FALSE)),"--")</f>
        <v>--</v>
      </c>
      <c r="V106" s="212" t="str">
        <f>IFERROR(IF(ISNUMBER(L106),"Kohdetieto",VLOOKUP(C107,Kalusto!$C$45:$L$84,9,FALSE)),"--")</f>
        <v>--</v>
      </c>
      <c r="W106" s="212" t="str">
        <f>IFERROR(IF(ISNUMBER(L106),"Kohdetieto",VLOOKUP(C107,Kalusto!$C$45:$L$84,10,FALSE)),"--")</f>
        <v>--</v>
      </c>
      <c r="X106" s="213" t="str">
        <f>IF(ISBLANK(C106),"",IF(D106="t",C106,IF(ISNUMBER(C106*G106),C106*G106,"")))</f>
        <v/>
      </c>
      <c r="Y106" s="211" t="str">
        <f>IF(ISNUMBER(C109),C109,"")</f>
        <v/>
      </c>
      <c r="Z106" s="213" t="str">
        <f>IF(ISNUMBER(X106/(U106*V106)*Y106),X106/(U106*V106)*Y106,"")</f>
        <v/>
      </c>
      <c r="AA106" s="214" t="str">
        <f>IF(ISNUMBER(L106),L106,K106)</f>
        <v>--</v>
      </c>
      <c r="AB106" s="213" t="str">
        <f>IF(ISNUMBER(Y106*X106*K106),Y106*X106*K106,"")</f>
        <v/>
      </c>
      <c r="AC106" s="213" t="str">
        <f>IF(C121="Kyllä",Y106,"")</f>
        <v/>
      </c>
      <c r="AD106" s="213" t="str">
        <f>IF(C121="Kyllä",IF(ISNUMBER(X106/(U106*V106)),X106/(U106*V106),""),"")</f>
        <v/>
      </c>
      <c r="AE106" s="213" t="str">
        <f>IF(ISNUMBER(AD106*AC106),AD106*AC106,"")</f>
        <v/>
      </c>
      <c r="AF106" s="214" t="str">
        <f>IF(ISNUMBER(L107),L107,K107)</f>
        <v>--</v>
      </c>
      <c r="AG106" s="213" t="str">
        <f>IF(ISNUMBER(AC106*AD106*K107),AC106*AD106*K107,"")</f>
        <v/>
      </c>
      <c r="AH106" s="211">
        <f>IF(T106="Jakelukuorma-auto",0,IF(T106="Maansiirtoauto",4,IF(T106="Puoliperävaunu",6,8)))</f>
        <v>8</v>
      </c>
      <c r="AI106" s="211">
        <f>IF(AND(T106="Jakelukuorma-auto",U106=6),0,IF(AND(T106="Jakelukuorma-auto",U106=15),2,0))</f>
        <v>0</v>
      </c>
      <c r="AJ106" s="211">
        <f>IF(W106="maantieajo",0,1)</f>
        <v>1</v>
      </c>
      <c r="AK106" s="104"/>
      <c r="AL106" s="35"/>
      <c r="AM106" s="35"/>
      <c r="AN106" s="36"/>
      <c r="AO106" s="36"/>
      <c r="AP106" s="36"/>
      <c r="AQ106" s="36"/>
      <c r="AR106" s="36"/>
      <c r="AS106" s="36"/>
      <c r="AT106" s="36"/>
      <c r="AU106" s="36"/>
      <c r="AV106" s="36"/>
      <c r="AW106" s="36"/>
      <c r="AX106" s="36"/>
      <c r="AY106" s="36"/>
      <c r="AZ106" s="36"/>
      <c r="BA106" s="36"/>
      <c r="BB106" s="36"/>
      <c r="BC106" s="36"/>
      <c r="BD106" s="36"/>
      <c r="BE106" s="36"/>
      <c r="BF106" s="104"/>
      <c r="BG106" s="104"/>
    </row>
    <row r="107" spans="2:59" s="30" customFormat="1" ht="30" x14ac:dyDescent="0.2">
      <c r="B107" s="166" t="s">
        <v>463</v>
      </c>
      <c r="C107" s="471" t="s">
        <v>298</v>
      </c>
      <c r="D107" s="472"/>
      <c r="E107" s="472"/>
      <c r="F107" s="472"/>
      <c r="G107" s="473"/>
      <c r="H107" s="81"/>
      <c r="I107" s="81"/>
      <c r="J107" s="32" t="s">
        <v>396</v>
      </c>
      <c r="K107" s="92" t="str">
        <f>IFERROR(IF(ISNUMBER(L107),L107,IF($C$121="Ei","",VLOOKUP(C107,Kalusto!$C$45:$U$84,19,FALSE)*VLOOKUP(C108,Muut!$D$40:$E$43,2,FALSE))),"--")</f>
        <v>--</v>
      </c>
      <c r="L107" s="39"/>
      <c r="M107" s="40" t="s">
        <v>188</v>
      </c>
      <c r="N107" s="40"/>
      <c r="O107" s="259"/>
      <c r="P107" s="143"/>
      <c r="Q107" s="101"/>
      <c r="R107" s="43"/>
      <c r="S107" s="43"/>
      <c r="T107" s="43"/>
      <c r="U107" s="43"/>
      <c r="V107" s="43"/>
      <c r="W107" s="43"/>
      <c r="X107" s="43"/>
      <c r="Y107" s="43"/>
      <c r="Z107" s="43"/>
      <c r="AA107" s="43"/>
      <c r="AB107" s="43"/>
      <c r="AC107" s="43"/>
      <c r="AD107" s="43"/>
      <c r="AE107" s="43"/>
      <c r="AF107" s="43"/>
      <c r="AG107" s="43"/>
      <c r="AH107" s="43"/>
      <c r="AI107" s="43"/>
      <c r="AJ107" s="43"/>
      <c r="AK107" s="104"/>
      <c r="AL107" s="35"/>
      <c r="AM107" s="35"/>
      <c r="AN107" s="36"/>
      <c r="AO107" s="36"/>
      <c r="AP107" s="36"/>
      <c r="AQ107" s="36"/>
      <c r="AR107" s="36"/>
      <c r="AS107" s="36"/>
      <c r="AT107" s="36"/>
      <c r="AU107" s="36"/>
      <c r="AV107" s="36"/>
      <c r="AW107" s="36"/>
      <c r="AX107" s="36"/>
      <c r="AY107" s="36"/>
      <c r="AZ107" s="36"/>
      <c r="BA107" s="36"/>
      <c r="BB107" s="36"/>
      <c r="BC107" s="36"/>
      <c r="BD107" s="36"/>
      <c r="BE107" s="36"/>
      <c r="BF107" s="104"/>
      <c r="BG107" s="104"/>
    </row>
    <row r="108" spans="2:59" s="30" customFormat="1" ht="15" x14ac:dyDescent="0.2">
      <c r="B108" s="182" t="s">
        <v>457</v>
      </c>
      <c r="C108" s="156" t="s">
        <v>309</v>
      </c>
      <c r="D108" s="33"/>
      <c r="E108" s="33"/>
      <c r="F108" s="33"/>
      <c r="G108" s="33"/>
      <c r="H108" s="57"/>
      <c r="J108" s="169"/>
      <c r="K108" s="169"/>
      <c r="L108" s="169"/>
      <c r="M108" s="40"/>
      <c r="N108" s="40"/>
      <c r="O108" s="259"/>
      <c r="Q108" s="45"/>
      <c r="R108" s="226"/>
      <c r="S108" s="226"/>
      <c r="T108" s="43"/>
      <c r="U108" s="43"/>
      <c r="V108" s="215"/>
      <c r="W108" s="215"/>
      <c r="X108" s="216"/>
      <c r="Y108" s="43"/>
      <c r="Z108" s="216"/>
      <c r="AA108" s="217"/>
      <c r="AB108" s="216"/>
      <c r="AC108" s="216"/>
      <c r="AD108" s="216"/>
      <c r="AE108" s="216"/>
      <c r="AF108" s="217"/>
      <c r="AG108" s="216"/>
      <c r="AH108" s="43"/>
      <c r="AI108" s="43"/>
      <c r="AJ108" s="43"/>
      <c r="AK108" s="104"/>
      <c r="AL108" s="35"/>
      <c r="AM108" s="35"/>
      <c r="AN108" s="36"/>
      <c r="AO108" s="36"/>
      <c r="AP108" s="36"/>
      <c r="AQ108" s="36"/>
      <c r="AR108" s="36"/>
      <c r="AS108" s="36"/>
      <c r="AT108" s="36"/>
      <c r="AU108" s="36"/>
      <c r="AV108" s="36"/>
      <c r="AW108" s="36"/>
      <c r="AX108" s="36"/>
      <c r="AY108" s="36"/>
      <c r="AZ108" s="36"/>
      <c r="BA108" s="36"/>
      <c r="BB108" s="36"/>
      <c r="BC108" s="36"/>
      <c r="BD108" s="36"/>
      <c r="BE108" s="36"/>
    </row>
    <row r="109" spans="2:59" s="30" customFormat="1" ht="15" x14ac:dyDescent="0.2">
      <c r="B109" s="44" t="s">
        <v>474</v>
      </c>
      <c r="C109" s="158"/>
      <c r="D109" s="81" t="s">
        <v>5</v>
      </c>
      <c r="G109" s="33"/>
      <c r="H109" s="81"/>
      <c r="I109" s="81"/>
      <c r="J109" s="32"/>
      <c r="K109" s="33"/>
      <c r="L109" s="33"/>
      <c r="M109" s="81"/>
      <c r="N109" s="81"/>
      <c r="O109" s="96"/>
      <c r="P109" s="146"/>
      <c r="Q109" s="101"/>
      <c r="R109" s="43"/>
      <c r="S109" s="43"/>
      <c r="T109" s="43"/>
      <c r="U109" s="43"/>
      <c r="V109" s="43"/>
      <c r="W109" s="43"/>
      <c r="X109" s="43"/>
      <c r="Y109" s="43"/>
      <c r="Z109" s="43"/>
      <c r="AA109" s="43"/>
      <c r="AB109" s="43"/>
      <c r="AC109" s="43"/>
      <c r="AD109" s="43"/>
      <c r="AE109" s="43"/>
      <c r="AF109" s="43"/>
      <c r="AG109" s="43"/>
      <c r="AH109" s="43"/>
      <c r="AI109" s="43"/>
      <c r="AJ109" s="43"/>
      <c r="AK109" s="104"/>
      <c r="AL109" s="35"/>
      <c r="AM109" s="35"/>
      <c r="AN109" s="36"/>
      <c r="AO109" s="36"/>
      <c r="AP109" s="36"/>
      <c r="AQ109" s="36"/>
      <c r="AR109" s="36"/>
      <c r="AS109" s="36"/>
      <c r="AT109" s="36"/>
      <c r="AU109" s="36"/>
      <c r="AV109" s="36"/>
      <c r="AW109" s="36"/>
      <c r="AX109" s="36"/>
      <c r="AY109" s="36"/>
      <c r="AZ109" s="36"/>
      <c r="BA109" s="36"/>
      <c r="BB109" s="36"/>
      <c r="BC109" s="36"/>
      <c r="BD109" s="36"/>
      <c r="BE109" s="36"/>
      <c r="BF109" s="104"/>
      <c r="BG109" s="104"/>
    </row>
    <row r="110" spans="2:59" s="30" customFormat="1" ht="15.75" x14ac:dyDescent="0.2">
      <c r="B110" s="91" t="str">
        <f>IF(LEFT(B88,6)="Hiekka","Hiekka",B88)</f>
        <v>Hiekka</v>
      </c>
      <c r="C110" s="33"/>
      <c r="D110" s="81"/>
      <c r="G110" s="33"/>
      <c r="H110" s="81"/>
      <c r="I110" s="81"/>
      <c r="J110" s="32"/>
      <c r="K110" s="37" t="s">
        <v>297</v>
      </c>
      <c r="L110" s="37" t="s">
        <v>185</v>
      </c>
      <c r="M110" s="83"/>
      <c r="N110" s="83"/>
      <c r="O110" s="260"/>
      <c r="P110" s="144"/>
      <c r="Q110" s="36"/>
      <c r="R110" s="43" t="s">
        <v>318</v>
      </c>
      <c r="S110" s="43"/>
      <c r="T110" s="43" t="s">
        <v>400</v>
      </c>
      <c r="U110" s="43" t="s">
        <v>399</v>
      </c>
      <c r="V110" s="43" t="s">
        <v>397</v>
      </c>
      <c r="W110" s="43" t="s">
        <v>398</v>
      </c>
      <c r="X110" s="43" t="s">
        <v>401</v>
      </c>
      <c r="Y110" s="43" t="s">
        <v>403</v>
      </c>
      <c r="Z110" s="43" t="s">
        <v>402</v>
      </c>
      <c r="AA110" s="43" t="s">
        <v>186</v>
      </c>
      <c r="AB110" s="43" t="s">
        <v>345</v>
      </c>
      <c r="AC110" s="43" t="s">
        <v>404</v>
      </c>
      <c r="AD110" s="43" t="s">
        <v>346</v>
      </c>
      <c r="AE110" s="43" t="s">
        <v>405</v>
      </c>
      <c r="AF110" s="43" t="s">
        <v>406</v>
      </c>
      <c r="AG110" s="43" t="s">
        <v>578</v>
      </c>
      <c r="AH110" s="43" t="s">
        <v>190</v>
      </c>
      <c r="AI110" s="43" t="s">
        <v>249</v>
      </c>
      <c r="AJ110" s="43" t="s">
        <v>191</v>
      </c>
      <c r="AK110" s="104"/>
      <c r="AL110" s="35"/>
      <c r="AM110" s="35"/>
      <c r="AN110" s="36"/>
      <c r="AO110" s="36"/>
      <c r="AP110" s="36"/>
      <c r="AQ110" s="36"/>
      <c r="AR110" s="36"/>
      <c r="AS110" s="36"/>
      <c r="AT110" s="36"/>
      <c r="AU110" s="36"/>
      <c r="AV110" s="36"/>
      <c r="AW110" s="36"/>
      <c r="AX110" s="36"/>
      <c r="AY110" s="36"/>
      <c r="AZ110" s="36"/>
      <c r="BA110" s="36"/>
      <c r="BB110" s="36"/>
      <c r="BC110" s="36"/>
      <c r="BD110" s="36"/>
      <c r="BE110" s="36"/>
      <c r="BF110" s="104"/>
      <c r="BG110" s="104"/>
    </row>
    <row r="111" spans="2:59" s="30" customFormat="1" ht="30" x14ac:dyDescent="0.2">
      <c r="B111" s="44" t="s">
        <v>475</v>
      </c>
      <c r="C111" s="108" t="str">
        <f>IF(ISNUMBER(C88),C88,"")</f>
        <v/>
      </c>
      <c r="D111" s="109" t="str">
        <f>D88</f>
        <v>m3ktr</v>
      </c>
      <c r="G111" s="108">
        <f>IF(ISNUMBER(G88),G88,"")</f>
        <v>1.4285714285714286</v>
      </c>
      <c r="H111" s="81" t="str">
        <f>IF(D111="t","t/t","t/m3")</f>
        <v>t/m3</v>
      </c>
      <c r="I111" s="81"/>
      <c r="J111" s="169" t="s">
        <v>395</v>
      </c>
      <c r="K111" s="92" t="str">
        <f>IFERROR(IF(ISNUMBER(L111),L111,(VLOOKUP(C112,Kalusto!$C$45:$G$84,5,FALSE)*VLOOKUP(C113,Muut!$D$40:$E$43,2,FALSE))),"--")</f>
        <v>--</v>
      </c>
      <c r="L111" s="39"/>
      <c r="M111" s="40" t="s">
        <v>184</v>
      </c>
      <c r="N111" s="40"/>
      <c r="O111" s="259"/>
      <c r="P111" s="145"/>
      <c r="Q111" s="100"/>
      <c r="R111" s="213" t="str">
        <f>IF(AND(NOT(ISNUMBER(AB111)),NOT(ISNUMBER(AG111))),"",IF(ISNUMBER(AB111),AB111,0)+IF(ISNUMBER(AG111),AG111,0))</f>
        <v/>
      </c>
      <c r="S111" s="226" t="s">
        <v>160</v>
      </c>
      <c r="T111" s="211" t="str">
        <f>IFERROR(IF(ISNUMBER(L111),"Kohdetieto",VLOOKUP(C112,Kalusto!$C$45:$L$84,7,FALSE)),"--")</f>
        <v>--</v>
      </c>
      <c r="U111" s="211" t="str">
        <f>IFERROR(IF(ISNUMBER(L111),"Kohdetieto",VLOOKUP(C112,Kalusto!$C$45:$L$84,8,FALSE)),"--")</f>
        <v>--</v>
      </c>
      <c r="V111" s="212" t="str">
        <f>IFERROR(IF(ISNUMBER(L111),"Kohdetieto",VLOOKUP(C112,Kalusto!$C$45:$L$84,9,FALSE)),"--")</f>
        <v>--</v>
      </c>
      <c r="W111" s="212" t="str">
        <f>IFERROR(IF(ISNUMBER(L111),"Kohdetieto",VLOOKUP(C112,Kalusto!$C$45:$L$84,10,FALSE)),"--")</f>
        <v>--</v>
      </c>
      <c r="X111" s="213" t="str">
        <f>IF(ISBLANK(C111),"",IF(D111="t",C111,IF(ISNUMBER(C111*G111),C111*G111,"")))</f>
        <v/>
      </c>
      <c r="Y111" s="211" t="str">
        <f>IF(ISNUMBER(C114),C114,"")</f>
        <v/>
      </c>
      <c r="Z111" s="213" t="str">
        <f>IF(ISNUMBER(X111/(U111*V111)*Y111),X111/(U111*V111)*Y111,"")</f>
        <v/>
      </c>
      <c r="AA111" s="214" t="str">
        <f>IF(ISNUMBER(L111),L111,K111)</f>
        <v>--</v>
      </c>
      <c r="AB111" s="213" t="str">
        <f>IF(ISNUMBER(Y111*X111*K111),Y111*X111*K111,"")</f>
        <v/>
      </c>
      <c r="AC111" s="213" t="str">
        <f>IF(C121="Kyllä",Y111,"")</f>
        <v/>
      </c>
      <c r="AD111" s="213" t="str">
        <f>IF(C121="Kyllä",IF(ISNUMBER(X111/(U111*V111)),X111/(U111*V111),""),"")</f>
        <v/>
      </c>
      <c r="AE111" s="213" t="str">
        <f>IF(ISNUMBER(AD111*AC111),AD111*AC111,"")</f>
        <v/>
      </c>
      <c r="AF111" s="214" t="str">
        <f>IF(ISNUMBER(L112),L112,K112)</f>
        <v>--</v>
      </c>
      <c r="AG111" s="213" t="str">
        <f>IF(ISNUMBER(AC111*AD111*K112),AC111*AD111*K112,"")</f>
        <v/>
      </c>
      <c r="AH111" s="211">
        <f>IF(T111="Jakelukuorma-auto",0,IF(T111="Maansiirtoauto",4,IF(T111="Puoliperävaunu",6,8)))</f>
        <v>8</v>
      </c>
      <c r="AI111" s="211">
        <f>IF(AND(T111="Jakelukuorma-auto",U111=6),0,IF(AND(T111="Jakelukuorma-auto",U111=15),2,0))</f>
        <v>0</v>
      </c>
      <c r="AJ111" s="211">
        <f>IF(W111="maantieajo",0,1)</f>
        <v>1</v>
      </c>
      <c r="AK111" s="104"/>
      <c r="AL111" s="35"/>
      <c r="AM111" s="35"/>
      <c r="AN111" s="36"/>
      <c r="AO111" s="36"/>
      <c r="AP111" s="36"/>
      <c r="AQ111" s="36"/>
      <c r="AR111" s="36"/>
      <c r="AS111" s="36"/>
      <c r="AT111" s="36"/>
      <c r="AU111" s="36"/>
      <c r="AV111" s="36"/>
      <c r="AW111" s="36"/>
      <c r="AX111" s="36"/>
      <c r="AY111" s="36"/>
      <c r="AZ111" s="36"/>
      <c r="BA111" s="36"/>
      <c r="BB111" s="36"/>
      <c r="BC111" s="36"/>
      <c r="BD111" s="36"/>
      <c r="BE111" s="36"/>
      <c r="BF111" s="104"/>
      <c r="BG111" s="104"/>
    </row>
    <row r="112" spans="2:59" s="30" customFormat="1" ht="30" x14ac:dyDescent="0.2">
      <c r="B112" s="166" t="s">
        <v>463</v>
      </c>
      <c r="C112" s="471" t="s">
        <v>298</v>
      </c>
      <c r="D112" s="472"/>
      <c r="E112" s="472"/>
      <c r="F112" s="472"/>
      <c r="G112" s="473"/>
      <c r="H112" s="81"/>
      <c r="I112" s="81"/>
      <c r="J112" s="32" t="s">
        <v>396</v>
      </c>
      <c r="K112" s="92" t="str">
        <f>IFERROR(IF(ISNUMBER(L112),L112,IF($C$121="Ei","",VLOOKUP(C112,Kalusto!$C$45:$U$84,19,FALSE)*VLOOKUP(C113,Muut!$D$40:$E$43,2,FALSE))),"--")</f>
        <v>--</v>
      </c>
      <c r="L112" s="39"/>
      <c r="M112" s="40" t="s">
        <v>188</v>
      </c>
      <c r="N112" s="40"/>
      <c r="O112" s="259"/>
      <c r="P112" s="143"/>
      <c r="Q112" s="101"/>
      <c r="R112" s="43"/>
      <c r="S112" s="43"/>
      <c r="T112" s="43"/>
      <c r="U112" s="43"/>
      <c r="V112" s="43"/>
      <c r="W112" s="43"/>
      <c r="X112" s="43"/>
      <c r="Y112" s="43"/>
      <c r="Z112" s="43"/>
      <c r="AA112" s="43"/>
      <c r="AB112" s="43"/>
      <c r="AC112" s="43"/>
      <c r="AD112" s="43"/>
      <c r="AE112" s="43"/>
      <c r="AF112" s="43"/>
      <c r="AG112" s="43"/>
      <c r="AH112" s="43"/>
      <c r="AI112" s="43"/>
      <c r="AJ112" s="43"/>
      <c r="AK112" s="104"/>
      <c r="AL112" s="35"/>
      <c r="AM112" s="35"/>
      <c r="AN112" s="36"/>
      <c r="AO112" s="36"/>
      <c r="AP112" s="36"/>
      <c r="AQ112" s="36"/>
      <c r="AR112" s="36"/>
      <c r="AS112" s="36"/>
      <c r="AT112" s="36"/>
      <c r="AU112" s="36"/>
      <c r="AV112" s="36"/>
      <c r="AW112" s="36"/>
      <c r="AX112" s="36"/>
      <c r="AY112" s="36"/>
      <c r="AZ112" s="36"/>
      <c r="BA112" s="36"/>
      <c r="BB112" s="36"/>
      <c r="BC112" s="36"/>
      <c r="BD112" s="36"/>
      <c r="BE112" s="36"/>
      <c r="BF112" s="104"/>
      <c r="BG112" s="104"/>
    </row>
    <row r="113" spans="2:59" s="30" customFormat="1" ht="15" x14ac:dyDescent="0.2">
      <c r="B113" s="182" t="s">
        <v>457</v>
      </c>
      <c r="C113" s="156" t="s">
        <v>309</v>
      </c>
      <c r="D113" s="33"/>
      <c r="E113" s="33"/>
      <c r="F113" s="33"/>
      <c r="G113" s="33"/>
      <c r="H113" s="57"/>
      <c r="J113" s="169"/>
      <c r="K113" s="169"/>
      <c r="L113" s="169"/>
      <c r="M113" s="40"/>
      <c r="N113" s="40"/>
      <c r="O113" s="259"/>
      <c r="Q113" s="45"/>
      <c r="R113" s="226"/>
      <c r="S113" s="226"/>
      <c r="T113" s="43"/>
      <c r="U113" s="43"/>
      <c r="V113" s="215"/>
      <c r="W113" s="215"/>
      <c r="X113" s="216"/>
      <c r="Y113" s="43"/>
      <c r="Z113" s="216"/>
      <c r="AA113" s="217"/>
      <c r="AB113" s="216"/>
      <c r="AC113" s="216"/>
      <c r="AD113" s="216"/>
      <c r="AE113" s="216"/>
      <c r="AF113" s="217"/>
      <c r="AG113" s="216"/>
      <c r="AH113" s="43"/>
      <c r="AI113" s="43"/>
      <c r="AJ113" s="43"/>
      <c r="AK113" s="104"/>
      <c r="AL113" s="35"/>
      <c r="AM113" s="35"/>
      <c r="AN113" s="36"/>
      <c r="AO113" s="36"/>
      <c r="AP113" s="36"/>
      <c r="AQ113" s="36"/>
      <c r="AR113" s="36"/>
      <c r="AS113" s="36"/>
      <c r="AT113" s="36"/>
      <c r="AU113" s="36"/>
      <c r="AV113" s="36"/>
      <c r="AW113" s="36"/>
      <c r="AX113" s="36"/>
      <c r="AY113" s="36"/>
      <c r="AZ113" s="36"/>
      <c r="BA113" s="36"/>
      <c r="BB113" s="36"/>
      <c r="BC113" s="36"/>
      <c r="BD113" s="36"/>
      <c r="BE113" s="36"/>
    </row>
    <row r="114" spans="2:59" s="30" customFormat="1" ht="15" x14ac:dyDescent="0.2">
      <c r="B114" s="44" t="s">
        <v>474</v>
      </c>
      <c r="C114" s="158"/>
      <c r="D114" s="81" t="s">
        <v>5</v>
      </c>
      <c r="G114" s="33"/>
      <c r="H114" s="81"/>
      <c r="I114" s="81"/>
      <c r="J114" s="32"/>
      <c r="K114" s="33"/>
      <c r="L114" s="33"/>
      <c r="M114" s="81"/>
      <c r="N114" s="81"/>
      <c r="O114" s="96"/>
      <c r="P114" s="146"/>
      <c r="Q114" s="101"/>
      <c r="R114" s="43"/>
      <c r="S114" s="43"/>
      <c r="T114" s="43"/>
      <c r="U114" s="43"/>
      <c r="V114" s="43"/>
      <c r="W114" s="43"/>
      <c r="X114" s="43"/>
      <c r="Y114" s="43"/>
      <c r="Z114" s="43"/>
      <c r="AA114" s="43"/>
      <c r="AB114" s="43"/>
      <c r="AC114" s="43"/>
      <c r="AD114" s="43"/>
      <c r="AE114" s="43"/>
      <c r="AF114" s="43"/>
      <c r="AG114" s="43"/>
      <c r="AH114" s="43"/>
      <c r="AI114" s="43"/>
      <c r="AJ114" s="43"/>
      <c r="AK114" s="104"/>
      <c r="AL114" s="35"/>
      <c r="AM114" s="35"/>
      <c r="AN114" s="36"/>
      <c r="AO114" s="36"/>
      <c r="AP114" s="36"/>
      <c r="AQ114" s="36"/>
      <c r="AR114" s="36"/>
      <c r="AS114" s="36"/>
      <c r="AT114" s="36"/>
      <c r="AU114" s="36"/>
      <c r="AV114" s="36"/>
      <c r="AW114" s="36"/>
      <c r="AX114" s="36"/>
      <c r="AY114" s="36"/>
      <c r="AZ114" s="36"/>
      <c r="BA114" s="36"/>
      <c r="BB114" s="36"/>
      <c r="BC114" s="36"/>
      <c r="BD114" s="36"/>
      <c r="BE114" s="36"/>
      <c r="BF114" s="104"/>
      <c r="BG114" s="104"/>
    </row>
    <row r="115" spans="2:59" s="30" customFormat="1" ht="15.75" x14ac:dyDescent="0.2">
      <c r="B115" s="91" t="str">
        <f>B89</f>
        <v>Maa-aineksen 5 kuvaus (valitse yksikkö ja mahdollinen muuntokerroin tonneiksi)</v>
      </c>
      <c r="C115" s="33"/>
      <c r="D115" s="81"/>
      <c r="G115" s="33"/>
      <c r="H115" s="81"/>
      <c r="I115" s="81"/>
      <c r="J115" s="32"/>
      <c r="K115" s="37" t="s">
        <v>297</v>
      </c>
      <c r="L115" s="37" t="s">
        <v>185</v>
      </c>
      <c r="M115" s="83"/>
      <c r="N115" s="83"/>
      <c r="O115" s="260"/>
      <c r="P115" s="144"/>
      <c r="Q115" s="36"/>
      <c r="R115" s="43" t="s">
        <v>318</v>
      </c>
      <c r="S115" s="43"/>
      <c r="T115" s="43" t="s">
        <v>400</v>
      </c>
      <c r="U115" s="43" t="s">
        <v>399</v>
      </c>
      <c r="V115" s="43" t="s">
        <v>397</v>
      </c>
      <c r="W115" s="43" t="s">
        <v>398</v>
      </c>
      <c r="X115" s="43" t="s">
        <v>401</v>
      </c>
      <c r="Y115" s="43" t="s">
        <v>403</v>
      </c>
      <c r="Z115" s="43" t="s">
        <v>402</v>
      </c>
      <c r="AA115" s="43" t="s">
        <v>186</v>
      </c>
      <c r="AB115" s="43" t="s">
        <v>345</v>
      </c>
      <c r="AC115" s="43" t="s">
        <v>404</v>
      </c>
      <c r="AD115" s="43" t="s">
        <v>346</v>
      </c>
      <c r="AE115" s="43" t="s">
        <v>405</v>
      </c>
      <c r="AF115" s="43" t="s">
        <v>406</v>
      </c>
      <c r="AG115" s="43" t="s">
        <v>578</v>
      </c>
      <c r="AH115" s="43" t="s">
        <v>190</v>
      </c>
      <c r="AI115" s="43" t="s">
        <v>249</v>
      </c>
      <c r="AJ115" s="43" t="s">
        <v>191</v>
      </c>
      <c r="AK115" s="104"/>
      <c r="AL115" s="35"/>
      <c r="AM115" s="35"/>
      <c r="AN115" s="36"/>
      <c r="AO115" s="36"/>
      <c r="AP115" s="36"/>
      <c r="AQ115" s="36"/>
      <c r="AR115" s="36"/>
      <c r="AS115" s="36"/>
      <c r="AT115" s="36"/>
      <c r="AU115" s="36"/>
      <c r="AV115" s="36"/>
      <c r="AW115" s="36"/>
      <c r="AX115" s="36"/>
      <c r="AY115" s="36"/>
      <c r="AZ115" s="36"/>
      <c r="BA115" s="36"/>
      <c r="BB115" s="36"/>
      <c r="BC115" s="36"/>
      <c r="BD115" s="36"/>
      <c r="BE115" s="36"/>
      <c r="BF115" s="104"/>
      <c r="BG115" s="104"/>
    </row>
    <row r="116" spans="2:59" s="30" customFormat="1" ht="30" x14ac:dyDescent="0.2">
      <c r="B116" s="44" t="s">
        <v>477</v>
      </c>
      <c r="C116" s="108" t="str">
        <f>IF(ISNUMBER(C89),C89,"")</f>
        <v/>
      </c>
      <c r="D116" s="109" t="str">
        <f>D89</f>
        <v>m3ktr</v>
      </c>
      <c r="G116" s="108" t="str">
        <f>IF(ISNUMBER(G89),G89,"")</f>
        <v/>
      </c>
      <c r="H116" s="81" t="str">
        <f>IF(D116="t","t/t","t/m3")</f>
        <v>t/m3</v>
      </c>
      <c r="I116" s="81"/>
      <c r="J116" s="169" t="s">
        <v>395</v>
      </c>
      <c r="K116" s="92" t="str">
        <f>IFERROR(IF(ISNUMBER(L116),L116,(VLOOKUP(C117,Kalusto!$C$45:$G$84,5,FALSE)*VLOOKUP(C118,Muut!$D$40:$E$43,2,FALSE))),"--")</f>
        <v>--</v>
      </c>
      <c r="L116" s="39"/>
      <c r="M116" s="40" t="s">
        <v>184</v>
      </c>
      <c r="N116" s="40"/>
      <c r="O116" s="259"/>
      <c r="P116" s="145"/>
      <c r="Q116" s="100"/>
      <c r="R116" s="213" t="str">
        <f>IF(AND(NOT(ISNUMBER(AB116)),NOT(ISNUMBER(AG116))),"",IF(ISNUMBER(AB116),AB116,0)+IF(ISNUMBER(AG116),AG116,0))</f>
        <v/>
      </c>
      <c r="S116" s="226" t="s">
        <v>160</v>
      </c>
      <c r="T116" s="211" t="str">
        <f>IFERROR(IF(ISNUMBER(L116),"Kohdetieto",VLOOKUP(C117,Kalusto!$C$45:$L$84,7,FALSE)),"--")</f>
        <v>--</v>
      </c>
      <c r="U116" s="211" t="str">
        <f>IFERROR(IF(ISNUMBER(L116),"Kohdetieto",VLOOKUP(C117,Kalusto!$C$45:$L$84,8,FALSE)),"--")</f>
        <v>--</v>
      </c>
      <c r="V116" s="212" t="str">
        <f>IFERROR(IF(ISNUMBER(L116),"Kohdetieto",VLOOKUP(C117,Kalusto!$C$45:$L$84,9,FALSE)),"--")</f>
        <v>--</v>
      </c>
      <c r="W116" s="212" t="str">
        <f>IFERROR(IF(ISNUMBER(L116),"Kohdetieto",VLOOKUP(C117,Kalusto!$C$45:$L$84,10,FALSE)),"--")</f>
        <v>--</v>
      </c>
      <c r="X116" s="213" t="str">
        <f>IF(ISBLANK(C116),"",IF(D116="t",C116,IF(ISNUMBER(C116*G116),C116*G116,"")))</f>
        <v/>
      </c>
      <c r="Y116" s="211" t="str">
        <f>IF(ISNUMBER(C119),C119,"")</f>
        <v/>
      </c>
      <c r="Z116" s="213" t="str">
        <f>IF(ISNUMBER(X116/(U116*V116)*Y116),X116/(U116*V116)*Y116,"")</f>
        <v/>
      </c>
      <c r="AA116" s="214" t="str">
        <f>IF(ISNUMBER(L116),L116,K116)</f>
        <v>--</v>
      </c>
      <c r="AB116" s="213" t="str">
        <f>IF(ISNUMBER(Y116*X116*K116),Y116*X116*K116,"")</f>
        <v/>
      </c>
      <c r="AC116" s="213" t="str">
        <f>IF(C121="Kyllä",Y116,"")</f>
        <v/>
      </c>
      <c r="AD116" s="213" t="str">
        <f>IF(C121="Kyllä",IF(ISNUMBER(X116/(U116*V116)),X116/(U116*V116),""),"")</f>
        <v/>
      </c>
      <c r="AE116" s="213" t="str">
        <f>IF(ISNUMBER(AD116*AC116),AD116*AC116,"")</f>
        <v/>
      </c>
      <c r="AF116" s="214" t="str">
        <f>IF(ISNUMBER(L117),L117,K117)</f>
        <v>--</v>
      </c>
      <c r="AG116" s="213" t="str">
        <f>IF(ISNUMBER(AC116*AD116*K117),AC116*AD116*K117,"")</f>
        <v/>
      </c>
      <c r="AH116" s="211">
        <f>IF(T116="Jakelukuorma-auto",0,IF(T116="Maansiirtoauto",4,IF(T116="Puoliperävaunu",6,8)))</f>
        <v>8</v>
      </c>
      <c r="AI116" s="211">
        <f>IF(AND(T116="Jakelukuorma-auto",U116=6),0,IF(AND(T116="Jakelukuorma-auto",U116=15),2,0))</f>
        <v>0</v>
      </c>
      <c r="AJ116" s="211">
        <f>IF(W116="maantieajo",0,1)</f>
        <v>1</v>
      </c>
      <c r="AK116" s="104"/>
      <c r="AL116" s="35"/>
      <c r="AM116" s="35"/>
      <c r="AN116" s="36"/>
      <c r="AO116" s="36"/>
      <c r="AP116" s="36"/>
      <c r="AQ116" s="36"/>
      <c r="AR116" s="36"/>
      <c r="AS116" s="36"/>
      <c r="AT116" s="36"/>
      <c r="AU116" s="36"/>
      <c r="AV116" s="36"/>
      <c r="AW116" s="36"/>
      <c r="AX116" s="36"/>
      <c r="AY116" s="36"/>
      <c r="AZ116" s="36"/>
      <c r="BA116" s="36"/>
      <c r="BB116" s="36"/>
      <c r="BC116" s="36"/>
      <c r="BD116" s="36"/>
      <c r="BE116" s="36"/>
      <c r="BF116" s="104"/>
      <c r="BG116" s="104"/>
    </row>
    <row r="117" spans="2:59" s="30" customFormat="1" ht="30" x14ac:dyDescent="0.2">
      <c r="B117" s="166" t="s">
        <v>463</v>
      </c>
      <c r="C117" s="471" t="s">
        <v>298</v>
      </c>
      <c r="D117" s="472"/>
      <c r="E117" s="472"/>
      <c r="F117" s="472"/>
      <c r="G117" s="473"/>
      <c r="H117" s="81"/>
      <c r="I117" s="81"/>
      <c r="J117" s="32" t="s">
        <v>396</v>
      </c>
      <c r="K117" s="92" t="str">
        <f>IFERROR(IF(ISNUMBER(L117),L117,IF($C$121="Ei","",VLOOKUP(C117,Kalusto!$C$45:$U$84,19,FALSE)*VLOOKUP(C118,Muut!$D$40:$E$43,2,FALSE))),"--")</f>
        <v>--</v>
      </c>
      <c r="L117" s="39"/>
      <c r="M117" s="40" t="s">
        <v>188</v>
      </c>
      <c r="N117" s="40"/>
      <c r="O117" s="259"/>
      <c r="P117" s="143"/>
      <c r="Q117" s="101"/>
      <c r="R117" s="102"/>
      <c r="S117" s="43"/>
      <c r="T117" s="43"/>
      <c r="U117" s="43"/>
      <c r="V117" s="43"/>
      <c r="W117" s="43"/>
      <c r="X117" s="43"/>
      <c r="Y117" s="43"/>
      <c r="Z117" s="43"/>
      <c r="AA117" s="43"/>
      <c r="AB117" s="43"/>
      <c r="AC117" s="43"/>
      <c r="AD117" s="43"/>
      <c r="AE117" s="43"/>
      <c r="AF117" s="43"/>
      <c r="AG117" s="43"/>
      <c r="AH117" s="43"/>
      <c r="AI117" s="43"/>
      <c r="AJ117" s="43"/>
      <c r="AK117" s="35"/>
      <c r="AL117" s="35"/>
      <c r="AM117" s="35"/>
      <c r="AN117" s="36"/>
      <c r="AO117" s="36"/>
      <c r="AP117" s="36"/>
      <c r="AQ117" s="36"/>
      <c r="AR117" s="36"/>
      <c r="AS117" s="36"/>
      <c r="AT117" s="36"/>
      <c r="AU117" s="36"/>
      <c r="AV117" s="36"/>
      <c r="AW117" s="36"/>
      <c r="AX117" s="36"/>
      <c r="AY117" s="36"/>
      <c r="AZ117" s="36"/>
      <c r="BA117" s="36"/>
      <c r="BB117" s="36"/>
      <c r="BC117" s="36"/>
      <c r="BD117" s="36"/>
      <c r="BE117" s="36"/>
      <c r="BF117" s="104"/>
      <c r="BG117" s="104"/>
    </row>
    <row r="118" spans="2:59" s="30" customFormat="1" ht="15" x14ac:dyDescent="0.2">
      <c r="B118" s="182" t="s">
        <v>457</v>
      </c>
      <c r="C118" s="156" t="s">
        <v>309</v>
      </c>
      <c r="D118" s="33"/>
      <c r="E118" s="33"/>
      <c r="F118" s="33"/>
      <c r="G118" s="33"/>
      <c r="H118" s="57"/>
      <c r="J118" s="169"/>
      <c r="K118" s="169"/>
      <c r="L118" s="169"/>
      <c r="M118" s="40"/>
      <c r="N118" s="40"/>
      <c r="O118" s="259"/>
      <c r="Q118" s="45"/>
      <c r="R118" s="226"/>
      <c r="S118" s="226"/>
      <c r="T118" s="43"/>
      <c r="U118" s="43"/>
      <c r="V118" s="215"/>
      <c r="W118" s="215"/>
      <c r="X118" s="216"/>
      <c r="Y118" s="43"/>
      <c r="Z118" s="216"/>
      <c r="AA118" s="217"/>
      <c r="AB118" s="216"/>
      <c r="AC118" s="216"/>
      <c r="AD118" s="216"/>
      <c r="AE118" s="216"/>
      <c r="AF118" s="217"/>
      <c r="AG118" s="216"/>
      <c r="AH118" s="43"/>
      <c r="AI118" s="43"/>
      <c r="AJ118" s="43"/>
      <c r="AK118" s="104"/>
      <c r="AL118" s="35"/>
      <c r="AM118" s="35"/>
      <c r="AN118" s="36"/>
      <c r="AO118" s="36"/>
      <c r="AP118" s="36"/>
      <c r="AQ118" s="36"/>
      <c r="AR118" s="36"/>
      <c r="AS118" s="36"/>
      <c r="AT118" s="36"/>
      <c r="AU118" s="36"/>
      <c r="AV118" s="36"/>
      <c r="AW118" s="36"/>
      <c r="AX118" s="36"/>
      <c r="AY118" s="36"/>
      <c r="AZ118" s="36"/>
      <c r="BA118" s="36"/>
      <c r="BB118" s="36"/>
      <c r="BC118" s="36"/>
      <c r="BD118" s="36"/>
      <c r="BE118" s="36"/>
    </row>
    <row r="119" spans="2:59" s="30" customFormat="1" ht="15" x14ac:dyDescent="0.2">
      <c r="B119" s="44" t="s">
        <v>474</v>
      </c>
      <c r="C119" s="158"/>
      <c r="D119" s="81" t="s">
        <v>5</v>
      </c>
      <c r="G119" s="33"/>
      <c r="H119" s="81"/>
      <c r="I119" s="81"/>
      <c r="J119" s="32"/>
      <c r="K119" s="33"/>
      <c r="L119" s="33"/>
      <c r="M119" s="81"/>
      <c r="N119" s="81"/>
      <c r="O119" s="96"/>
      <c r="P119" s="146"/>
      <c r="Q119" s="101"/>
      <c r="R119" s="102"/>
      <c r="S119" s="43"/>
      <c r="T119" s="43"/>
      <c r="U119" s="43"/>
      <c r="V119" s="43"/>
      <c r="W119" s="43"/>
      <c r="X119" s="43"/>
      <c r="Y119" s="43"/>
      <c r="Z119" s="43"/>
      <c r="AA119" s="43"/>
      <c r="AB119" s="43"/>
      <c r="AC119" s="43"/>
      <c r="AD119" s="43"/>
      <c r="AE119" s="43"/>
      <c r="AF119" s="43"/>
      <c r="AG119" s="43"/>
      <c r="AH119" s="43"/>
      <c r="AI119" s="43"/>
      <c r="AJ119" s="43"/>
      <c r="AK119" s="35"/>
      <c r="AL119" s="35"/>
      <c r="AM119" s="35"/>
      <c r="AN119" s="36"/>
      <c r="AO119" s="36"/>
      <c r="AP119" s="36"/>
      <c r="AQ119" s="36"/>
      <c r="AR119" s="36"/>
      <c r="AS119" s="36"/>
      <c r="AT119" s="36"/>
      <c r="AU119" s="36"/>
      <c r="AV119" s="36"/>
      <c r="AW119" s="36"/>
      <c r="AX119" s="36"/>
      <c r="AY119" s="36"/>
      <c r="AZ119" s="36"/>
      <c r="BA119" s="36"/>
      <c r="BB119" s="36"/>
      <c r="BC119" s="36"/>
      <c r="BD119" s="36"/>
      <c r="BE119" s="36"/>
      <c r="BF119" s="104"/>
      <c r="BG119" s="104"/>
    </row>
    <row r="120" spans="2:59" s="30" customFormat="1" ht="15" x14ac:dyDescent="0.2">
      <c r="C120" s="33"/>
      <c r="D120" s="81"/>
      <c r="G120" s="33"/>
      <c r="H120" s="81"/>
      <c r="I120" s="81"/>
      <c r="J120" s="32"/>
      <c r="K120" s="33"/>
      <c r="L120" s="33"/>
      <c r="M120" s="81"/>
      <c r="N120" s="81"/>
      <c r="O120" s="96"/>
      <c r="P120" s="67"/>
      <c r="Q120" s="36"/>
      <c r="R120" s="102"/>
      <c r="S120" s="43"/>
      <c r="T120" s="43"/>
      <c r="U120" s="43"/>
      <c r="V120" s="43"/>
      <c r="W120" s="43"/>
      <c r="X120" s="43"/>
      <c r="Y120" s="43"/>
      <c r="Z120" s="43"/>
      <c r="AA120" s="43"/>
      <c r="AB120" s="43"/>
      <c r="AC120" s="43"/>
      <c r="AD120" s="43"/>
      <c r="AE120" s="43"/>
      <c r="AF120" s="43"/>
      <c r="AG120" s="43"/>
      <c r="AH120" s="43"/>
      <c r="AI120" s="43"/>
      <c r="AJ120" s="43"/>
      <c r="AK120" s="35"/>
      <c r="AL120" s="35"/>
      <c r="AM120" s="35"/>
      <c r="AN120" s="36"/>
      <c r="AO120" s="36"/>
      <c r="AP120" s="36"/>
      <c r="AQ120" s="36"/>
      <c r="AR120" s="36"/>
      <c r="AS120" s="36"/>
      <c r="AT120" s="36"/>
      <c r="AU120" s="36"/>
      <c r="AV120" s="36"/>
      <c r="AW120" s="36"/>
      <c r="AX120" s="36"/>
      <c r="AY120" s="36"/>
      <c r="AZ120" s="36"/>
      <c r="BA120" s="36"/>
      <c r="BB120" s="36"/>
      <c r="BC120" s="36"/>
      <c r="BD120" s="36"/>
      <c r="BE120" s="36"/>
      <c r="BF120" s="104"/>
      <c r="BG120" s="104"/>
    </row>
    <row r="121" spans="2:59" s="30" customFormat="1" ht="45" x14ac:dyDescent="0.2">
      <c r="B121" s="76" t="s">
        <v>606</v>
      </c>
      <c r="C121" s="471" t="s">
        <v>6</v>
      </c>
      <c r="D121" s="473"/>
      <c r="G121" s="33"/>
      <c r="H121" s="81"/>
      <c r="J121" s="32"/>
      <c r="K121" s="33"/>
      <c r="L121" s="33"/>
      <c r="M121" s="81"/>
      <c r="N121" s="81"/>
      <c r="O121" s="96"/>
      <c r="P121" s="67"/>
      <c r="Q121" s="36"/>
      <c r="R121" s="102"/>
      <c r="S121" s="43"/>
      <c r="T121" s="43"/>
      <c r="U121" s="43"/>
      <c r="V121" s="43"/>
      <c r="W121" s="43"/>
      <c r="X121" s="43"/>
      <c r="Y121" s="43"/>
      <c r="Z121" s="43"/>
      <c r="AA121" s="43"/>
      <c r="AB121" s="43"/>
      <c r="AC121" s="43"/>
      <c r="AD121" s="43"/>
      <c r="AE121" s="43"/>
      <c r="AF121" s="43"/>
      <c r="AG121" s="43"/>
      <c r="AH121" s="43"/>
      <c r="AI121" s="43"/>
      <c r="AJ121" s="43"/>
      <c r="AK121" s="35"/>
      <c r="AL121" s="35"/>
      <c r="AM121" s="35"/>
      <c r="AN121" s="36"/>
      <c r="AO121" s="36"/>
      <c r="AP121" s="36"/>
      <c r="AQ121" s="36"/>
      <c r="AR121" s="36"/>
      <c r="AS121" s="36"/>
      <c r="AT121" s="36"/>
      <c r="AU121" s="36"/>
      <c r="AV121" s="36"/>
      <c r="AW121" s="36"/>
      <c r="AX121" s="36"/>
      <c r="AY121" s="36"/>
      <c r="AZ121" s="36"/>
      <c r="BA121" s="36"/>
      <c r="BB121" s="36"/>
      <c r="BC121" s="36"/>
      <c r="BD121" s="36"/>
      <c r="BE121" s="36"/>
      <c r="BF121" s="104"/>
      <c r="BG121" s="104"/>
    </row>
    <row r="122" spans="2:59" s="30" customFormat="1" ht="15" x14ac:dyDescent="0.2">
      <c r="C122" s="33"/>
      <c r="D122" s="81"/>
      <c r="G122" s="33"/>
      <c r="H122" s="81"/>
      <c r="J122" s="32"/>
      <c r="K122" s="33"/>
      <c r="L122" s="33"/>
      <c r="M122" s="81"/>
      <c r="N122" s="81"/>
      <c r="O122" s="81"/>
      <c r="Q122" s="34"/>
      <c r="R122" s="102"/>
      <c r="S122" s="43"/>
      <c r="T122" s="43"/>
      <c r="U122" s="43"/>
      <c r="V122" s="43"/>
      <c r="W122" s="43"/>
      <c r="X122" s="43"/>
      <c r="Y122" s="43"/>
      <c r="Z122" s="43"/>
      <c r="AA122" s="43"/>
      <c r="AB122" s="43"/>
      <c r="AC122" s="43"/>
      <c r="AD122" s="43"/>
      <c r="AE122" s="43"/>
      <c r="AF122" s="43"/>
      <c r="AG122" s="43"/>
      <c r="AH122" s="43"/>
      <c r="AI122" s="43"/>
      <c r="AJ122" s="43"/>
      <c r="AK122" s="35"/>
      <c r="AL122" s="35"/>
      <c r="AM122" s="35"/>
      <c r="AN122" s="36"/>
      <c r="AO122" s="36"/>
      <c r="AP122" s="36"/>
      <c r="AQ122" s="36"/>
      <c r="AR122" s="36"/>
      <c r="AS122" s="36"/>
      <c r="AT122" s="36"/>
      <c r="AU122" s="36"/>
      <c r="AV122" s="36"/>
      <c r="AW122" s="36"/>
      <c r="AX122" s="36"/>
      <c r="AY122" s="36"/>
      <c r="AZ122" s="36"/>
      <c r="BA122" s="36"/>
      <c r="BB122" s="36"/>
      <c r="BC122" s="36"/>
      <c r="BD122" s="36"/>
      <c r="BE122" s="36"/>
    </row>
    <row r="123" spans="2:59" s="289" customFormat="1" ht="18" x14ac:dyDescent="0.2">
      <c r="B123" s="286" t="s">
        <v>585</v>
      </c>
      <c r="C123" s="287"/>
      <c r="D123" s="288"/>
      <c r="G123" s="287"/>
      <c r="H123" s="288"/>
      <c r="K123" s="287"/>
      <c r="L123" s="287"/>
      <c r="M123" s="288"/>
      <c r="N123" s="288"/>
      <c r="O123" s="291"/>
      <c r="P123" s="311"/>
      <c r="Q123" s="295"/>
      <c r="S123" s="294"/>
      <c r="T123" s="294"/>
      <c r="U123" s="294"/>
      <c r="V123" s="294"/>
      <c r="W123" s="294"/>
      <c r="X123" s="294"/>
      <c r="Y123" s="294"/>
      <c r="Z123" s="294"/>
      <c r="AA123" s="294"/>
      <c r="AB123" s="294"/>
      <c r="AC123" s="294"/>
      <c r="AD123" s="294"/>
      <c r="AE123" s="294"/>
      <c r="AF123" s="294"/>
      <c r="AG123" s="294"/>
      <c r="AH123" s="294"/>
      <c r="AI123" s="294"/>
      <c r="AJ123" s="294"/>
      <c r="AK123" s="294"/>
      <c r="AL123" s="294"/>
      <c r="AM123" s="294"/>
      <c r="AN123" s="295"/>
      <c r="AO123" s="295"/>
      <c r="AP123" s="295"/>
      <c r="AQ123" s="295"/>
      <c r="AR123" s="295"/>
      <c r="AS123" s="295"/>
      <c r="AT123" s="295"/>
      <c r="AU123" s="295"/>
      <c r="AV123" s="295"/>
      <c r="AW123" s="295"/>
      <c r="AX123" s="295"/>
      <c r="AY123" s="295"/>
      <c r="AZ123" s="295"/>
      <c r="BA123" s="295"/>
      <c r="BB123" s="295"/>
      <c r="BC123" s="295"/>
      <c r="BD123" s="295"/>
      <c r="BE123" s="295"/>
    </row>
    <row r="124" spans="2:59" s="30" customFormat="1" ht="75" x14ac:dyDescent="0.2">
      <c r="B124" s="8"/>
      <c r="C124" s="33" t="s">
        <v>50</v>
      </c>
      <c r="D124" s="81"/>
      <c r="G124" s="37" t="s">
        <v>478</v>
      </c>
      <c r="H124" s="81"/>
      <c r="J124" s="32"/>
      <c r="K124" s="37" t="s">
        <v>297</v>
      </c>
      <c r="L124" s="37" t="s">
        <v>185</v>
      </c>
      <c r="O124" s="249" t="s">
        <v>584</v>
      </c>
      <c r="P124" s="144"/>
      <c r="Q124" s="104"/>
      <c r="R124" s="35" t="s">
        <v>318</v>
      </c>
      <c r="S124" s="35"/>
      <c r="T124" s="35" t="s">
        <v>423</v>
      </c>
      <c r="U124" s="35" t="s">
        <v>319</v>
      </c>
      <c r="V124" s="35" t="s">
        <v>320</v>
      </c>
      <c r="W124" s="104"/>
      <c r="X124" s="104"/>
      <c r="Y124" s="35"/>
      <c r="Z124" s="35"/>
      <c r="AA124" s="35"/>
      <c r="AB124" s="35"/>
      <c r="AC124" s="35"/>
      <c r="AD124" s="35"/>
      <c r="AE124" s="35"/>
      <c r="AF124" s="35"/>
      <c r="AG124" s="35"/>
      <c r="AH124" s="35"/>
      <c r="AI124" s="35"/>
      <c r="AJ124" s="35"/>
      <c r="AK124" s="35"/>
      <c r="AL124" s="35"/>
      <c r="AM124" s="35"/>
      <c r="AN124" s="35"/>
      <c r="AO124" s="35"/>
      <c r="AP124" s="36"/>
      <c r="AQ124" s="36"/>
      <c r="AR124" s="36"/>
      <c r="AS124" s="36"/>
      <c r="AT124" s="36"/>
      <c r="AU124" s="36"/>
      <c r="AV124" s="36"/>
      <c r="AW124" s="36"/>
      <c r="AX124" s="36"/>
      <c r="AY124" s="36"/>
      <c r="AZ124" s="36"/>
      <c r="BA124" s="36"/>
      <c r="BB124" s="36"/>
      <c r="BC124" s="36"/>
      <c r="BD124" s="36"/>
      <c r="BE124" s="36"/>
      <c r="BF124" s="36"/>
      <c r="BG124" s="36"/>
    </row>
    <row r="125" spans="2:59" s="30" customFormat="1" ht="30" x14ac:dyDescent="0.2">
      <c r="B125" s="76" t="s">
        <v>431</v>
      </c>
      <c r="C125" s="156">
        <f>SUM(C85:C89)</f>
        <v>0</v>
      </c>
      <c r="D125" s="81" t="s">
        <v>198</v>
      </c>
      <c r="G125" s="171">
        <f>IF(ISNUMBER(SUM(V85:V89)),SUM(V85:V89),"")</f>
        <v>0</v>
      </c>
      <c r="H125" s="81"/>
      <c r="J125" s="32" t="s">
        <v>424</v>
      </c>
      <c r="K125" s="134" t="str">
        <f>IFERROR(IF(ISNUMBER(L125),L125,(VLOOKUP(C126,Kalusto!$C$5:$E$42,3,FALSE))*(VLOOKUP(C127,Muut!$D$40:$E$43,2,FALSE))),"--")</f>
        <v>--</v>
      </c>
      <c r="L125" s="61"/>
      <c r="M125" s="40" t="s">
        <v>189</v>
      </c>
      <c r="N125" s="40"/>
      <c r="O125" s="250"/>
      <c r="P125" s="147"/>
      <c r="Q125" s="104"/>
      <c r="R125" s="48" t="str">
        <f>IF(ISNUMBER(K125*V125),K125*V125,"")</f>
        <v/>
      </c>
      <c r="S125" s="98" t="s">
        <v>160</v>
      </c>
      <c r="T125" s="48">
        <f>IF(ISNUMBER(C125),C125,IF(ISNUMBER(G125),G125,""))</f>
        <v>0</v>
      </c>
      <c r="U125" s="62" t="str">
        <f>IF(D128="h","",IF(ISNUMBER(C128),C128,""))</f>
        <v/>
      </c>
      <c r="V125" s="48" t="str">
        <f>IF(ISNUMBER(T125),IF(D128="h",D128,IF(ISNUMBER(T125*U125),IF(D128="m3/h",T125/U125,T125*U125),"")),"")</f>
        <v/>
      </c>
      <c r="W125" s="104"/>
      <c r="X125" s="104"/>
      <c r="Y125" s="104"/>
      <c r="Z125" s="59"/>
      <c r="AA125" s="35"/>
      <c r="AB125" s="35"/>
      <c r="AC125" s="60"/>
      <c r="AD125" s="35"/>
      <c r="AE125" s="35"/>
      <c r="AF125" s="35"/>
      <c r="AG125" s="35"/>
      <c r="AH125" s="35"/>
      <c r="AI125" s="35"/>
      <c r="AJ125" s="35"/>
      <c r="AK125" s="35"/>
      <c r="AL125" s="35"/>
      <c r="AM125" s="35"/>
      <c r="AN125" s="35"/>
      <c r="AO125" s="35"/>
      <c r="AP125" s="36"/>
      <c r="AQ125" s="36"/>
      <c r="AR125" s="36"/>
      <c r="AS125" s="36"/>
      <c r="AT125" s="36"/>
      <c r="AU125" s="36"/>
      <c r="AV125" s="36"/>
      <c r="AW125" s="36"/>
      <c r="AX125" s="36"/>
      <c r="AY125" s="36"/>
      <c r="AZ125" s="36"/>
      <c r="BA125" s="36"/>
      <c r="BB125" s="36"/>
      <c r="BC125" s="36"/>
      <c r="BD125" s="36"/>
      <c r="BE125" s="36"/>
      <c r="BF125" s="36"/>
      <c r="BG125" s="36"/>
    </row>
    <row r="126" spans="2:59" s="30" customFormat="1" ht="15" x14ac:dyDescent="0.2">
      <c r="B126" s="52" t="s">
        <v>461</v>
      </c>
      <c r="C126" s="471" t="s">
        <v>300</v>
      </c>
      <c r="D126" s="472"/>
      <c r="E126" s="472"/>
      <c r="F126" s="472"/>
      <c r="G126" s="473"/>
      <c r="H126" s="81"/>
      <c r="J126" s="32"/>
      <c r="O126" s="258"/>
      <c r="P126" s="67"/>
      <c r="Q126" s="104"/>
      <c r="R126" s="94"/>
      <c r="S126" s="104"/>
      <c r="T126" s="36"/>
      <c r="U126" s="35"/>
      <c r="V126" s="35"/>
      <c r="W126" s="35"/>
      <c r="X126" s="35"/>
      <c r="Y126" s="35"/>
      <c r="Z126" s="35"/>
      <c r="AA126" s="35"/>
      <c r="AB126" s="35"/>
      <c r="AC126" s="35"/>
      <c r="AD126" s="35"/>
      <c r="AE126" s="35"/>
      <c r="AF126" s="35"/>
      <c r="AG126" s="35"/>
      <c r="AH126" s="35"/>
      <c r="AI126" s="35"/>
      <c r="AJ126" s="35"/>
      <c r="AK126" s="35"/>
      <c r="AL126" s="35"/>
      <c r="AM126" s="35"/>
      <c r="AN126" s="35"/>
      <c r="AO126" s="35"/>
      <c r="AP126" s="36"/>
      <c r="AQ126" s="36"/>
      <c r="AR126" s="36"/>
      <c r="AS126" s="36"/>
      <c r="AT126" s="36"/>
      <c r="AU126" s="36"/>
      <c r="AV126" s="36"/>
      <c r="AW126" s="36"/>
      <c r="AX126" s="36"/>
      <c r="AY126" s="36"/>
      <c r="AZ126" s="36"/>
      <c r="BA126" s="36"/>
      <c r="BB126" s="36"/>
      <c r="BC126" s="36"/>
      <c r="BD126" s="36"/>
      <c r="BE126" s="36"/>
      <c r="BF126" s="36"/>
      <c r="BG126" s="36"/>
    </row>
    <row r="127" spans="2:59" s="30" customFormat="1" ht="15" x14ac:dyDescent="0.2">
      <c r="B127" s="166" t="s">
        <v>460</v>
      </c>
      <c r="C127" s="156" t="s">
        <v>309</v>
      </c>
      <c r="D127" s="33"/>
      <c r="E127" s="33"/>
      <c r="F127" s="33"/>
      <c r="G127" s="33"/>
      <c r="H127" s="57"/>
      <c r="J127" s="169"/>
      <c r="K127" s="169"/>
      <c r="L127" s="169"/>
      <c r="M127" s="40"/>
      <c r="N127" s="40"/>
      <c r="O127" s="250"/>
      <c r="Q127" s="45"/>
      <c r="R127" s="59"/>
      <c r="S127" s="98"/>
      <c r="T127" s="35"/>
      <c r="U127" s="35"/>
      <c r="V127" s="177"/>
      <c r="W127" s="177"/>
      <c r="X127" s="59"/>
      <c r="Y127" s="35"/>
      <c r="Z127" s="59"/>
      <c r="AA127" s="178"/>
      <c r="AB127" s="59"/>
      <c r="AC127" s="59"/>
      <c r="AD127" s="59"/>
      <c r="AE127" s="59"/>
      <c r="AF127" s="178"/>
      <c r="AG127" s="59"/>
      <c r="AH127" s="35"/>
      <c r="AI127" s="35"/>
      <c r="AJ127" s="35"/>
      <c r="AK127" s="104"/>
      <c r="AL127" s="35"/>
      <c r="AM127" s="35"/>
      <c r="AN127" s="36"/>
      <c r="AO127" s="36"/>
      <c r="AP127" s="36"/>
      <c r="AQ127" s="36"/>
      <c r="AR127" s="36"/>
      <c r="AS127" s="36"/>
      <c r="AT127" s="36"/>
      <c r="AU127" s="36"/>
      <c r="AV127" s="36"/>
      <c r="AW127" s="36"/>
      <c r="AX127" s="36"/>
      <c r="AY127" s="36"/>
      <c r="AZ127" s="36"/>
      <c r="BA127" s="36"/>
      <c r="BB127" s="36"/>
      <c r="BC127" s="36"/>
      <c r="BD127" s="36"/>
      <c r="BE127" s="36"/>
    </row>
    <row r="128" spans="2:59" s="30" customFormat="1" ht="30" x14ac:dyDescent="0.2">
      <c r="B128" s="76" t="s">
        <v>462</v>
      </c>
      <c r="C128" s="189"/>
      <c r="D128" s="86" t="s">
        <v>193</v>
      </c>
      <c r="G128" s="33"/>
      <c r="H128" s="81"/>
      <c r="J128" s="32"/>
      <c r="O128" s="258"/>
      <c r="P128" s="67"/>
      <c r="Q128" s="104"/>
      <c r="R128" s="94"/>
      <c r="S128" s="104"/>
      <c r="T128" s="36"/>
      <c r="U128" s="35"/>
      <c r="V128" s="35"/>
      <c r="W128" s="35"/>
      <c r="X128" s="35"/>
      <c r="Y128" s="35"/>
      <c r="Z128" s="35"/>
      <c r="AA128" s="35"/>
      <c r="AB128" s="35"/>
      <c r="AC128" s="35"/>
      <c r="AD128" s="35"/>
      <c r="AE128" s="35"/>
      <c r="AF128" s="35"/>
      <c r="AG128" s="35"/>
      <c r="AH128" s="35"/>
      <c r="AI128" s="35"/>
      <c r="AJ128" s="35"/>
      <c r="AK128" s="35"/>
      <c r="AL128" s="35"/>
      <c r="AM128" s="35"/>
      <c r="AN128" s="35"/>
      <c r="AO128" s="35"/>
      <c r="AP128" s="36"/>
      <c r="AQ128" s="36"/>
      <c r="AR128" s="36"/>
      <c r="AS128" s="36"/>
      <c r="AT128" s="36"/>
      <c r="AU128" s="36"/>
      <c r="AV128" s="36"/>
      <c r="AW128" s="36"/>
      <c r="AX128" s="36"/>
      <c r="AY128" s="36"/>
      <c r="AZ128" s="36"/>
      <c r="BA128" s="36"/>
      <c r="BB128" s="36"/>
      <c r="BC128" s="36"/>
      <c r="BD128" s="36"/>
      <c r="BE128" s="36"/>
      <c r="BF128" s="36"/>
      <c r="BG128" s="36"/>
    </row>
    <row r="129" spans="2:59" s="30" customFormat="1" ht="15" x14ac:dyDescent="0.2">
      <c r="C129" s="33"/>
      <c r="D129" s="81"/>
      <c r="G129" s="33"/>
      <c r="H129" s="81"/>
      <c r="J129" s="32"/>
      <c r="O129" s="167"/>
      <c r="P129" s="67"/>
      <c r="Q129" s="104"/>
      <c r="R129" s="94"/>
      <c r="S129" s="104"/>
      <c r="T129" s="36"/>
      <c r="U129" s="35"/>
      <c r="V129" s="35"/>
      <c r="W129" s="35"/>
      <c r="X129" s="35"/>
      <c r="Y129" s="35"/>
      <c r="Z129" s="35"/>
      <c r="AA129" s="35"/>
      <c r="AB129" s="35"/>
      <c r="AC129" s="35"/>
      <c r="AD129" s="35"/>
      <c r="AE129" s="35"/>
      <c r="AF129" s="35"/>
      <c r="AG129" s="35"/>
      <c r="AH129" s="35"/>
      <c r="AI129" s="35"/>
      <c r="AJ129" s="35"/>
      <c r="AK129" s="35"/>
      <c r="AL129" s="35"/>
      <c r="AM129" s="35"/>
      <c r="AN129" s="35"/>
      <c r="AO129" s="35"/>
      <c r="AP129" s="36"/>
      <c r="AQ129" s="36"/>
      <c r="AR129" s="36"/>
      <c r="AS129" s="36"/>
      <c r="AT129" s="36"/>
      <c r="AU129" s="36"/>
      <c r="AV129" s="36"/>
      <c r="AW129" s="36"/>
      <c r="AX129" s="36"/>
      <c r="AY129" s="36"/>
      <c r="AZ129" s="36"/>
      <c r="BA129" s="36"/>
      <c r="BB129" s="36"/>
      <c r="BC129" s="36"/>
      <c r="BD129" s="36"/>
      <c r="BE129" s="36"/>
      <c r="BF129" s="36"/>
      <c r="BG129" s="36"/>
    </row>
    <row r="130" spans="2:59" s="289" customFormat="1" ht="18" x14ac:dyDescent="0.2">
      <c r="B130" s="286" t="s">
        <v>589</v>
      </c>
      <c r="C130" s="287"/>
      <c r="D130" s="288"/>
      <c r="G130" s="287"/>
      <c r="H130" s="288"/>
      <c r="K130" s="287"/>
      <c r="L130" s="287"/>
      <c r="M130" s="288"/>
      <c r="N130" s="288"/>
      <c r="O130" s="291"/>
      <c r="P130" s="311"/>
      <c r="Q130" s="295"/>
      <c r="S130" s="294"/>
      <c r="T130" s="294"/>
      <c r="U130" s="294"/>
      <c r="V130" s="294"/>
      <c r="W130" s="294"/>
      <c r="X130" s="294"/>
      <c r="Y130" s="294"/>
      <c r="Z130" s="294"/>
      <c r="AA130" s="294"/>
      <c r="AB130" s="294"/>
      <c r="AC130" s="294"/>
      <c r="AD130" s="294"/>
      <c r="AE130" s="294"/>
      <c r="AF130" s="294"/>
      <c r="AG130" s="294"/>
      <c r="AH130" s="294"/>
      <c r="AI130" s="294"/>
      <c r="AJ130" s="294"/>
      <c r="AK130" s="294"/>
      <c r="AL130" s="294"/>
      <c r="AM130" s="294"/>
      <c r="AN130" s="295"/>
      <c r="AO130" s="295"/>
      <c r="AP130" s="295"/>
      <c r="AQ130" s="295"/>
      <c r="AR130" s="295"/>
      <c r="AS130" s="295"/>
      <c r="AT130" s="295"/>
      <c r="AU130" s="295"/>
      <c r="AV130" s="295"/>
      <c r="AW130" s="295"/>
      <c r="AX130" s="295"/>
      <c r="AY130" s="295"/>
      <c r="AZ130" s="295"/>
      <c r="BA130" s="295"/>
      <c r="BB130" s="295"/>
      <c r="BC130" s="295"/>
      <c r="BD130" s="295"/>
      <c r="BE130" s="295"/>
    </row>
    <row r="131" spans="2:59" s="30" customFormat="1" ht="15" x14ac:dyDescent="0.2">
      <c r="C131" s="33"/>
      <c r="D131" s="81"/>
      <c r="G131" s="33"/>
      <c r="H131" s="81"/>
      <c r="J131" s="32"/>
      <c r="K131" s="33"/>
      <c r="L131" s="33"/>
      <c r="M131" s="81"/>
      <c r="N131" s="81"/>
      <c r="O131" s="81"/>
      <c r="Q131" s="34"/>
      <c r="R131" s="102"/>
      <c r="S131" s="43"/>
      <c r="T131" s="43"/>
      <c r="U131" s="43"/>
      <c r="V131" s="43"/>
      <c r="W131" s="43"/>
      <c r="X131" s="43"/>
      <c r="Y131" s="43"/>
      <c r="Z131" s="43"/>
      <c r="AA131" s="43"/>
      <c r="AB131" s="43"/>
      <c r="AC131" s="43"/>
      <c r="AD131" s="43"/>
      <c r="AE131" s="43"/>
      <c r="AF131" s="43"/>
      <c r="AG131" s="43"/>
      <c r="AH131" s="43"/>
      <c r="AI131" s="43"/>
      <c r="AJ131" s="43"/>
      <c r="AK131" s="35"/>
      <c r="AL131" s="35"/>
      <c r="AM131" s="35"/>
      <c r="AN131" s="36"/>
      <c r="AO131" s="36"/>
      <c r="AP131" s="36"/>
      <c r="AQ131" s="36"/>
      <c r="AR131" s="36"/>
      <c r="AS131" s="36"/>
      <c r="AT131" s="36"/>
      <c r="AU131" s="36"/>
      <c r="AV131" s="36"/>
      <c r="AW131" s="36"/>
      <c r="AX131" s="36"/>
      <c r="AY131" s="36"/>
      <c r="AZ131" s="36"/>
      <c r="BA131" s="36"/>
      <c r="BB131" s="36"/>
      <c r="BC131" s="36"/>
      <c r="BD131" s="36"/>
      <c r="BE131" s="36"/>
    </row>
    <row r="132" spans="2:59" s="30" customFormat="1" ht="15" x14ac:dyDescent="0.2">
      <c r="B132" s="160" t="s">
        <v>303</v>
      </c>
      <c r="C132" s="33"/>
      <c r="D132" s="81"/>
      <c r="G132" s="33"/>
      <c r="H132" s="81"/>
      <c r="K132" s="37"/>
      <c r="L132" s="37"/>
      <c r="M132" s="81"/>
      <c r="N132" s="81"/>
      <c r="O132" s="249" t="s">
        <v>584</v>
      </c>
      <c r="Q132" s="34"/>
      <c r="R132" s="102"/>
      <c r="S132" s="43"/>
      <c r="T132" s="43"/>
      <c r="U132" s="43"/>
      <c r="V132" s="43"/>
      <c r="W132" s="43"/>
      <c r="X132" s="43"/>
      <c r="Y132" s="43"/>
      <c r="Z132" s="43"/>
      <c r="AA132" s="43"/>
      <c r="AB132" s="43"/>
      <c r="AC132" s="43"/>
      <c r="AD132" s="43"/>
      <c r="AE132" s="43"/>
      <c r="AF132" s="43"/>
      <c r="AG132" s="43"/>
      <c r="AH132" s="43"/>
      <c r="AI132" s="43"/>
      <c r="AJ132" s="43"/>
      <c r="AK132" s="35"/>
      <c r="AL132" s="35"/>
      <c r="AM132" s="35"/>
      <c r="AN132" s="36"/>
      <c r="AO132" s="36"/>
      <c r="AP132" s="36"/>
      <c r="AQ132" s="36"/>
      <c r="AR132" s="36"/>
      <c r="AS132" s="36"/>
      <c r="AT132" s="36"/>
      <c r="AU132" s="36"/>
      <c r="AV132" s="36"/>
      <c r="AW132" s="36"/>
      <c r="AX132" s="36"/>
      <c r="AY132" s="36"/>
      <c r="AZ132" s="36"/>
      <c r="BA132" s="36"/>
      <c r="BB132" s="36"/>
      <c r="BC132" s="36"/>
      <c r="BD132" s="36"/>
      <c r="BE132" s="36"/>
    </row>
    <row r="133" spans="2:59" s="30" customFormat="1" ht="45" x14ac:dyDescent="0.2">
      <c r="B133" s="76" t="s">
        <v>694</v>
      </c>
      <c r="C133" s="474" t="s">
        <v>110</v>
      </c>
      <c r="D133" s="474"/>
      <c r="G133" s="37" t="str">
        <f>IF(C133="Muu tuote tai materiaali","Muun tuotteen tai materiaalin määrän yksikkö","")</f>
        <v/>
      </c>
      <c r="H133" s="81"/>
      <c r="K133" s="37" t="s">
        <v>297</v>
      </c>
      <c r="L133" s="37" t="s">
        <v>185</v>
      </c>
      <c r="M133" s="81" t="s">
        <v>287</v>
      </c>
      <c r="N133" s="81"/>
      <c r="O133" s="250"/>
      <c r="Q133" s="34"/>
      <c r="R133" s="43" t="s">
        <v>318</v>
      </c>
      <c r="S133" s="43"/>
      <c r="T133" s="220"/>
      <c r="U133" s="43"/>
      <c r="V133" s="43"/>
      <c r="W133" s="43"/>
      <c r="X133" s="43"/>
      <c r="Y133" s="43"/>
      <c r="Z133" s="43"/>
      <c r="AA133" s="43"/>
      <c r="AB133" s="43"/>
      <c r="AC133" s="43"/>
      <c r="AD133" s="43"/>
      <c r="AE133" s="43"/>
      <c r="AF133" s="43"/>
      <c r="AG133" s="43"/>
      <c r="AH133" s="43"/>
      <c r="AI133" s="43"/>
      <c r="AJ133" s="43"/>
      <c r="AK133" s="35"/>
      <c r="AL133" s="35"/>
      <c r="AM133" s="35"/>
      <c r="AN133" s="36"/>
      <c r="AO133" s="36"/>
      <c r="AP133" s="36"/>
      <c r="AQ133" s="36"/>
      <c r="AR133" s="36"/>
      <c r="AS133" s="36"/>
      <c r="AT133" s="36"/>
      <c r="AU133" s="36"/>
      <c r="AV133" s="36"/>
      <c r="AW133" s="36"/>
      <c r="AX133" s="36"/>
      <c r="AY133" s="36"/>
      <c r="AZ133" s="36"/>
      <c r="BA133" s="36"/>
      <c r="BB133" s="36"/>
      <c r="BC133" s="36"/>
      <c r="BD133" s="36"/>
      <c r="BE133" s="36"/>
    </row>
    <row r="134" spans="2:59" s="30" customFormat="1" ht="15" x14ac:dyDescent="0.2">
      <c r="B134" s="52" t="s">
        <v>331</v>
      </c>
      <c r="C134" s="158"/>
      <c r="D134" s="81" t="str">
        <f>IFERROR(VLOOKUP(C133,Materiaalit!$C$48:$D$66,2,FALSE),"Yksikkö")</f>
        <v>Yksikkö</v>
      </c>
      <c r="E134" s="33"/>
      <c r="F134" s="33"/>
      <c r="G134" s="41"/>
      <c r="H134" s="81"/>
      <c r="J134" s="32" t="s">
        <v>332</v>
      </c>
      <c r="K134" s="92" t="str">
        <f>IFERROR(IF(ISNUMBER(L134),L134,VLOOKUP(C133,Materiaalit!$C$46:$G$66,5,FALSE)),"--")</f>
        <v>--</v>
      </c>
      <c r="L134" s="39"/>
      <c r="M134" s="396" t="str">
        <f>IF(D134="Yksikkö","--",IF(AND(D134="Oma yksikkö",ISBLANK(G134)),"Puuttuu",IF(AND(D134="Oma yksikkö",NOT(ISBLANK(G134))),"kgCO2e/" &amp; G134,"kgCO2e/" &amp; D134)))</f>
        <v>--</v>
      </c>
      <c r="N134" s="41"/>
      <c r="O134" s="261"/>
      <c r="Q134" s="34"/>
      <c r="R134" s="213" t="str">
        <f>IF(NOT(AND(ISNUMBER(K134),ISNUMBER(C134))),"",C134*K134)</f>
        <v/>
      </c>
      <c r="S134" s="226" t="s">
        <v>160</v>
      </c>
      <c r="T134" s="220"/>
      <c r="U134" s="43"/>
      <c r="V134" s="43"/>
      <c r="W134" s="43"/>
      <c r="X134" s="43"/>
      <c r="Y134" s="43"/>
      <c r="Z134" s="43"/>
      <c r="AA134" s="43"/>
      <c r="AB134" s="43"/>
      <c r="AC134" s="43"/>
      <c r="AD134" s="43"/>
      <c r="AE134" s="43"/>
      <c r="AF134" s="43"/>
      <c r="AG134" s="43"/>
      <c r="AH134" s="43"/>
      <c r="AI134" s="43"/>
      <c r="AJ134" s="43"/>
      <c r="AK134" s="35"/>
      <c r="AL134" s="35"/>
      <c r="AM134" s="35"/>
      <c r="AN134" s="36"/>
      <c r="AO134" s="36"/>
      <c r="AP134" s="36"/>
      <c r="AQ134" s="36"/>
      <c r="AR134" s="36"/>
      <c r="AS134" s="36"/>
      <c r="AT134" s="36"/>
      <c r="AU134" s="36"/>
      <c r="AV134" s="36"/>
      <c r="AW134" s="36"/>
      <c r="AX134" s="36"/>
      <c r="AY134" s="36"/>
      <c r="AZ134" s="36"/>
      <c r="BA134" s="36"/>
      <c r="BB134" s="36"/>
      <c r="BC134" s="36"/>
      <c r="BD134" s="36"/>
      <c r="BE134" s="36"/>
    </row>
    <row r="135" spans="2:59" s="30" customFormat="1" ht="15" x14ac:dyDescent="0.2">
      <c r="B135" s="160" t="s">
        <v>304</v>
      </c>
      <c r="C135" s="33"/>
      <c r="D135" s="81"/>
      <c r="G135" s="33"/>
      <c r="H135" s="81"/>
      <c r="J135" s="32"/>
      <c r="K135" s="37"/>
      <c r="L135" s="37"/>
      <c r="M135" s="37"/>
      <c r="N135" s="37"/>
      <c r="O135" s="262"/>
      <c r="Q135" s="34"/>
      <c r="R135" s="216"/>
      <c r="S135" s="43"/>
      <c r="T135" s="220"/>
      <c r="U135" s="43"/>
      <c r="V135" s="43"/>
      <c r="W135" s="43"/>
      <c r="X135" s="43"/>
      <c r="Y135" s="43"/>
      <c r="Z135" s="43"/>
      <c r="AA135" s="43"/>
      <c r="AB135" s="43"/>
      <c r="AC135" s="43"/>
      <c r="AD135" s="43"/>
      <c r="AE135" s="43"/>
      <c r="AF135" s="43"/>
      <c r="AG135" s="43"/>
      <c r="AH135" s="43"/>
      <c r="AI135" s="43"/>
      <c r="AJ135" s="43"/>
      <c r="AK135" s="35"/>
      <c r="AL135" s="35"/>
      <c r="AM135" s="35"/>
      <c r="AN135" s="36"/>
      <c r="AO135" s="36"/>
      <c r="AP135" s="36"/>
      <c r="AQ135" s="36"/>
      <c r="AR135" s="36"/>
      <c r="AS135" s="36"/>
      <c r="AT135" s="36"/>
      <c r="AU135" s="36"/>
      <c r="AV135" s="36"/>
      <c r="AW135" s="36"/>
      <c r="AX135" s="36"/>
      <c r="AY135" s="36"/>
      <c r="AZ135" s="36"/>
      <c r="BA135" s="36"/>
      <c r="BB135" s="36"/>
      <c r="BC135" s="36"/>
      <c r="BD135" s="36"/>
      <c r="BE135" s="36"/>
    </row>
    <row r="136" spans="2:59" s="30" customFormat="1" ht="45" x14ac:dyDescent="0.2">
      <c r="B136" s="76" t="s">
        <v>694</v>
      </c>
      <c r="C136" s="474" t="s">
        <v>110</v>
      </c>
      <c r="D136" s="474"/>
      <c r="G136" s="37" t="str">
        <f>IF(C136="Muu tuote tai materiaali","Muun tuotteen tai materiaalin määrän yksikkö","")</f>
        <v/>
      </c>
      <c r="H136" s="81"/>
      <c r="J136" s="32"/>
      <c r="K136" s="37" t="s">
        <v>297</v>
      </c>
      <c r="L136" s="37" t="s">
        <v>185</v>
      </c>
      <c r="M136" s="37" t="s">
        <v>287</v>
      </c>
      <c r="N136" s="37"/>
      <c r="O136" s="262"/>
      <c r="Q136" s="34"/>
      <c r="R136" s="43" t="s">
        <v>318</v>
      </c>
      <c r="S136" s="43"/>
      <c r="T136" s="220"/>
      <c r="U136" s="43"/>
      <c r="V136" s="43"/>
      <c r="W136" s="43"/>
      <c r="X136" s="43"/>
      <c r="Y136" s="43"/>
      <c r="Z136" s="43"/>
      <c r="AA136" s="43"/>
      <c r="AB136" s="43"/>
      <c r="AC136" s="43"/>
      <c r="AD136" s="43"/>
      <c r="AE136" s="43"/>
      <c r="AF136" s="43"/>
      <c r="AG136" s="43"/>
      <c r="AH136" s="43"/>
      <c r="AI136" s="43"/>
      <c r="AJ136" s="43"/>
      <c r="AK136" s="35"/>
      <c r="AL136" s="35"/>
      <c r="AM136" s="35"/>
      <c r="AN136" s="36"/>
      <c r="AO136" s="36"/>
      <c r="AP136" s="36"/>
      <c r="AQ136" s="36"/>
      <c r="AR136" s="36"/>
      <c r="AS136" s="36"/>
      <c r="AT136" s="36"/>
      <c r="AU136" s="36"/>
      <c r="AV136" s="36"/>
      <c r="AW136" s="36"/>
      <c r="AX136" s="36"/>
      <c r="AY136" s="36"/>
      <c r="AZ136" s="36"/>
      <c r="BA136" s="36"/>
      <c r="BB136" s="36"/>
      <c r="BC136" s="36"/>
      <c r="BD136" s="36"/>
      <c r="BE136" s="36"/>
    </row>
    <row r="137" spans="2:59" s="30" customFormat="1" ht="15" x14ac:dyDescent="0.2">
      <c r="B137" s="52" t="s">
        <v>331</v>
      </c>
      <c r="C137" s="156"/>
      <c r="D137" s="81" t="str">
        <f>IFERROR(VLOOKUP(C136,Materiaalit!$C$48:$D$66,2,FALSE),"Yksikkö")</f>
        <v>Yksikkö</v>
      </c>
      <c r="G137" s="41"/>
      <c r="H137" s="81"/>
      <c r="J137" s="32" t="s">
        <v>332</v>
      </c>
      <c r="K137" s="92" t="str">
        <f>IFERROR(IF(ISNUMBER(L137),L137,VLOOKUP(C136,Materiaalit!$C$46:$G$66,5,FALSE)),"--")</f>
        <v>--</v>
      </c>
      <c r="L137" s="39"/>
      <c r="M137" s="396" t="str">
        <f>IF(D137="Yksikkö","--",IF(AND(D137="Oma yksikkö",ISBLANK(G137)),"Puuttuu",IF(AND(D137="Oma yksikkö",NOT(ISBLANK(G137))),"kgCO2e/" &amp; G137,"kgCO2e/" &amp; D137)))</f>
        <v>--</v>
      </c>
      <c r="N137" s="41"/>
      <c r="O137" s="261"/>
      <c r="Q137" s="34"/>
      <c r="R137" s="213" t="str">
        <f>IF(NOT(AND(ISNUMBER(K137),ISNUMBER(C137))),"",C137*K137)</f>
        <v/>
      </c>
      <c r="S137" s="226" t="s">
        <v>160</v>
      </c>
      <c r="T137" s="220"/>
      <c r="U137" s="43"/>
      <c r="V137" s="43"/>
      <c r="W137" s="43"/>
      <c r="X137" s="43"/>
      <c r="Y137" s="43"/>
      <c r="Z137" s="43"/>
      <c r="AA137" s="43"/>
      <c r="AB137" s="43"/>
      <c r="AC137" s="43"/>
      <c r="AD137" s="43"/>
      <c r="AE137" s="43"/>
      <c r="AF137" s="43"/>
      <c r="AG137" s="43"/>
      <c r="AH137" s="43"/>
      <c r="AI137" s="43"/>
      <c r="AJ137" s="43"/>
      <c r="AK137" s="35"/>
      <c r="AL137" s="35"/>
      <c r="AM137" s="35"/>
      <c r="AN137" s="36"/>
      <c r="AO137" s="36"/>
      <c r="AP137" s="36"/>
      <c r="AQ137" s="36"/>
      <c r="AR137" s="36"/>
      <c r="AS137" s="36"/>
      <c r="AT137" s="36"/>
      <c r="AU137" s="36"/>
      <c r="AV137" s="36"/>
      <c r="AW137" s="36"/>
      <c r="AX137" s="36"/>
      <c r="AY137" s="36"/>
      <c r="AZ137" s="36"/>
      <c r="BA137" s="36"/>
      <c r="BB137" s="36"/>
      <c r="BC137" s="36"/>
      <c r="BD137" s="36"/>
      <c r="BE137" s="36"/>
    </row>
    <row r="138" spans="2:59" s="30" customFormat="1" ht="15" x14ac:dyDescent="0.2">
      <c r="B138" s="160" t="s">
        <v>305</v>
      </c>
      <c r="C138" s="33"/>
      <c r="D138" s="81"/>
      <c r="G138" s="33"/>
      <c r="H138" s="81"/>
      <c r="J138" s="32"/>
      <c r="K138" s="37"/>
      <c r="L138" s="37"/>
      <c r="M138" s="37"/>
      <c r="N138" s="37"/>
      <c r="O138" s="262"/>
      <c r="Q138" s="34"/>
      <c r="R138" s="216"/>
      <c r="S138" s="43"/>
      <c r="T138" s="220"/>
      <c r="U138" s="43"/>
      <c r="V138" s="43"/>
      <c r="W138" s="43"/>
      <c r="X138" s="43"/>
      <c r="Y138" s="43"/>
      <c r="Z138" s="43"/>
      <c r="AA138" s="43"/>
      <c r="AB138" s="43"/>
      <c r="AC138" s="43"/>
      <c r="AD138" s="43"/>
      <c r="AE138" s="43"/>
      <c r="AF138" s="43"/>
      <c r="AG138" s="43"/>
      <c r="AH138" s="43"/>
      <c r="AI138" s="43"/>
      <c r="AJ138" s="43"/>
      <c r="AK138" s="35"/>
      <c r="AL138" s="35"/>
      <c r="AM138" s="35"/>
      <c r="AN138" s="36"/>
      <c r="AO138" s="36"/>
      <c r="AP138" s="36"/>
      <c r="AQ138" s="36"/>
      <c r="AR138" s="36"/>
      <c r="AS138" s="36"/>
      <c r="AT138" s="36"/>
      <c r="AU138" s="36"/>
      <c r="AV138" s="36"/>
      <c r="AW138" s="36"/>
      <c r="AX138" s="36"/>
      <c r="AY138" s="36"/>
      <c r="AZ138" s="36"/>
      <c r="BA138" s="36"/>
      <c r="BB138" s="36"/>
      <c r="BC138" s="36"/>
      <c r="BD138" s="36"/>
      <c r="BE138" s="36"/>
    </row>
    <row r="139" spans="2:59" s="30" customFormat="1" ht="45" x14ac:dyDescent="0.2">
      <c r="B139" s="76" t="s">
        <v>694</v>
      </c>
      <c r="C139" s="474" t="s">
        <v>110</v>
      </c>
      <c r="D139" s="474"/>
      <c r="G139" s="37" t="str">
        <f>IF(C139="Muu tuote tai materiaali","Muun tuotteen tai materiaalin määrän yksikkö","")</f>
        <v/>
      </c>
      <c r="H139" s="81"/>
      <c r="J139" s="32"/>
      <c r="K139" s="37" t="s">
        <v>297</v>
      </c>
      <c r="L139" s="37" t="s">
        <v>185</v>
      </c>
      <c r="M139" s="37" t="s">
        <v>287</v>
      </c>
      <c r="N139" s="37"/>
      <c r="O139" s="262"/>
      <c r="Q139" s="34"/>
      <c r="R139" s="43" t="s">
        <v>318</v>
      </c>
      <c r="S139" s="43"/>
      <c r="T139" s="220"/>
      <c r="U139" s="43"/>
      <c r="V139" s="43"/>
      <c r="W139" s="43"/>
      <c r="X139" s="43"/>
      <c r="Y139" s="43"/>
      <c r="Z139" s="43"/>
      <c r="AA139" s="43"/>
      <c r="AB139" s="43"/>
      <c r="AC139" s="43"/>
      <c r="AD139" s="43"/>
      <c r="AE139" s="43"/>
      <c r="AF139" s="43"/>
      <c r="AG139" s="43"/>
      <c r="AH139" s="43"/>
      <c r="AI139" s="43"/>
      <c r="AJ139" s="43"/>
      <c r="AK139" s="35"/>
      <c r="AL139" s="35"/>
      <c r="AM139" s="35"/>
      <c r="AN139" s="36"/>
      <c r="AO139" s="36"/>
      <c r="AP139" s="36"/>
      <c r="AQ139" s="36"/>
      <c r="AR139" s="36"/>
      <c r="AS139" s="36"/>
      <c r="AT139" s="36"/>
      <c r="AU139" s="36"/>
      <c r="AV139" s="36"/>
      <c r="AW139" s="36"/>
      <c r="AX139" s="36"/>
      <c r="AY139" s="36"/>
      <c r="AZ139" s="36"/>
      <c r="BA139" s="36"/>
      <c r="BB139" s="36"/>
      <c r="BC139" s="36"/>
      <c r="BD139" s="36"/>
      <c r="BE139" s="36"/>
    </row>
    <row r="140" spans="2:59" s="30" customFormat="1" ht="15" x14ac:dyDescent="0.2">
      <c r="B140" s="52" t="s">
        <v>331</v>
      </c>
      <c r="C140" s="156"/>
      <c r="D140" s="81" t="str">
        <f>IFERROR(VLOOKUP(C139,Materiaalit!$C$48:$D$66,2,FALSE),"Yksikkö")</f>
        <v>Yksikkö</v>
      </c>
      <c r="G140" s="41"/>
      <c r="H140" s="81"/>
      <c r="J140" s="32" t="s">
        <v>332</v>
      </c>
      <c r="K140" s="92" t="str">
        <f>IFERROR(IF(ISNUMBER(L140),L140,VLOOKUP(C139,Materiaalit!$C$46:$G$66,5,FALSE)),"--")</f>
        <v>--</v>
      </c>
      <c r="L140" s="39"/>
      <c r="M140" s="396" t="str">
        <f>IF(D140="Yksikkö","--",IF(AND(D140="Oma yksikkö",ISBLANK(G140)),"Puuttuu",IF(AND(D140="Oma yksikkö",NOT(ISBLANK(G140))),"kgCO2e/" &amp; G140,"kgCO2e/" &amp; D140)))</f>
        <v>--</v>
      </c>
      <c r="N140" s="41"/>
      <c r="O140" s="261"/>
      <c r="Q140" s="34"/>
      <c r="R140" s="213" t="str">
        <f>IF(NOT(AND(ISNUMBER(K140),ISNUMBER(C140))),"",C140*K140)</f>
        <v/>
      </c>
      <c r="S140" s="226" t="s">
        <v>160</v>
      </c>
      <c r="T140" s="220"/>
      <c r="U140" s="43"/>
      <c r="V140" s="43"/>
      <c r="W140" s="43"/>
      <c r="X140" s="43"/>
      <c r="Y140" s="43"/>
      <c r="Z140" s="43"/>
      <c r="AA140" s="43"/>
      <c r="AB140" s="43"/>
      <c r="AC140" s="43"/>
      <c r="AD140" s="43"/>
      <c r="AE140" s="43"/>
      <c r="AF140" s="43"/>
      <c r="AG140" s="43"/>
      <c r="AH140" s="43"/>
      <c r="AI140" s="43"/>
      <c r="AJ140" s="43"/>
      <c r="AK140" s="35"/>
      <c r="AL140" s="35"/>
      <c r="AM140" s="35"/>
      <c r="AN140" s="36"/>
      <c r="AO140" s="36"/>
      <c r="AP140" s="36"/>
      <c r="AQ140" s="36"/>
      <c r="AR140" s="36"/>
      <c r="AS140" s="36"/>
      <c r="AT140" s="36"/>
      <c r="AU140" s="36"/>
      <c r="AV140" s="36"/>
      <c r="AW140" s="36"/>
      <c r="AX140" s="36"/>
      <c r="AY140" s="36"/>
      <c r="AZ140" s="36"/>
      <c r="BA140" s="36"/>
      <c r="BB140" s="36"/>
      <c r="BC140" s="36"/>
      <c r="BD140" s="36"/>
      <c r="BE140" s="36"/>
    </row>
    <row r="141" spans="2:59" s="30" customFormat="1" ht="15" x14ac:dyDescent="0.2">
      <c r="B141" s="160" t="s">
        <v>306</v>
      </c>
      <c r="C141" s="33"/>
      <c r="D141" s="81"/>
      <c r="G141" s="33"/>
      <c r="H141" s="81"/>
      <c r="J141" s="32"/>
      <c r="K141" s="37"/>
      <c r="L141" s="37"/>
      <c r="M141" s="37"/>
      <c r="N141" s="37"/>
      <c r="O141" s="262"/>
      <c r="Q141" s="34"/>
      <c r="R141" s="216"/>
      <c r="S141" s="43"/>
      <c r="T141" s="220"/>
      <c r="U141" s="43"/>
      <c r="V141" s="43"/>
      <c r="W141" s="43"/>
      <c r="X141" s="43"/>
      <c r="Y141" s="43"/>
      <c r="Z141" s="43"/>
      <c r="AA141" s="43"/>
      <c r="AB141" s="43"/>
      <c r="AC141" s="43"/>
      <c r="AD141" s="43"/>
      <c r="AE141" s="43"/>
      <c r="AF141" s="43"/>
      <c r="AG141" s="43"/>
      <c r="AH141" s="43"/>
      <c r="AI141" s="43"/>
      <c r="AJ141" s="43"/>
      <c r="AK141" s="35"/>
      <c r="AL141" s="35"/>
      <c r="AM141" s="35"/>
      <c r="AN141" s="36"/>
      <c r="AO141" s="36"/>
      <c r="AP141" s="36"/>
      <c r="AQ141" s="36"/>
      <c r="AR141" s="36"/>
      <c r="AS141" s="36"/>
      <c r="AT141" s="36"/>
      <c r="AU141" s="36"/>
      <c r="AV141" s="36"/>
      <c r="AW141" s="36"/>
      <c r="AX141" s="36"/>
      <c r="AY141" s="36"/>
      <c r="AZ141" s="36"/>
      <c r="BA141" s="36"/>
      <c r="BB141" s="36"/>
      <c r="BC141" s="36"/>
      <c r="BD141" s="36"/>
      <c r="BE141" s="36"/>
    </row>
    <row r="142" spans="2:59" s="30" customFormat="1" ht="45" x14ac:dyDescent="0.2">
      <c r="B142" s="76" t="s">
        <v>694</v>
      </c>
      <c r="C142" s="474" t="s">
        <v>110</v>
      </c>
      <c r="D142" s="474"/>
      <c r="G142" s="37" t="str">
        <f>IF(C142="Muu tuote tai materiaali","Muun tuotteen tai materiaalin määrän yksikkö","")</f>
        <v/>
      </c>
      <c r="H142" s="81"/>
      <c r="J142" s="32"/>
      <c r="K142" s="37" t="s">
        <v>297</v>
      </c>
      <c r="L142" s="37" t="s">
        <v>185</v>
      </c>
      <c r="M142" s="37" t="s">
        <v>287</v>
      </c>
      <c r="N142" s="37"/>
      <c r="O142" s="262"/>
      <c r="Q142" s="34"/>
      <c r="R142" s="43" t="s">
        <v>318</v>
      </c>
      <c r="S142" s="43"/>
      <c r="T142" s="220"/>
      <c r="U142" s="43"/>
      <c r="V142" s="43"/>
      <c r="W142" s="43"/>
      <c r="X142" s="43"/>
      <c r="Y142" s="43"/>
      <c r="Z142" s="43"/>
      <c r="AA142" s="43"/>
      <c r="AB142" s="43"/>
      <c r="AC142" s="43"/>
      <c r="AD142" s="43"/>
      <c r="AE142" s="43"/>
      <c r="AF142" s="43"/>
      <c r="AG142" s="43"/>
      <c r="AH142" s="43"/>
      <c r="AI142" s="43"/>
      <c r="AJ142" s="43"/>
      <c r="AK142" s="35"/>
      <c r="AL142" s="35"/>
      <c r="AM142" s="35"/>
      <c r="AN142" s="36"/>
      <c r="AO142" s="36"/>
      <c r="AP142" s="36"/>
      <c r="AQ142" s="36"/>
      <c r="AR142" s="36"/>
      <c r="AS142" s="36"/>
      <c r="AT142" s="36"/>
      <c r="AU142" s="36"/>
      <c r="AV142" s="36"/>
      <c r="AW142" s="36"/>
      <c r="AX142" s="36"/>
      <c r="AY142" s="36"/>
      <c r="AZ142" s="36"/>
      <c r="BA142" s="36"/>
      <c r="BB142" s="36"/>
      <c r="BC142" s="36"/>
      <c r="BD142" s="36"/>
      <c r="BE142" s="36"/>
    </row>
    <row r="143" spans="2:59" s="30" customFormat="1" ht="15" x14ac:dyDescent="0.2">
      <c r="B143" s="52" t="s">
        <v>331</v>
      </c>
      <c r="C143" s="156"/>
      <c r="D143" s="81" t="str">
        <f>IFERROR(VLOOKUP(C142,Materiaalit!$C$48:$D$66,2,FALSE),"Yksikkö")</f>
        <v>Yksikkö</v>
      </c>
      <c r="E143" s="33"/>
      <c r="F143" s="33"/>
      <c r="G143" s="41"/>
      <c r="H143" s="81"/>
      <c r="J143" s="32" t="s">
        <v>332</v>
      </c>
      <c r="K143" s="92" t="str">
        <f>IFERROR(IF(ISNUMBER(L143),L143,VLOOKUP(C142,Materiaalit!$C$46:$G$66,5,FALSE)),"--")</f>
        <v>--</v>
      </c>
      <c r="L143" s="39"/>
      <c r="M143" s="396" t="str">
        <f>IF(D143="Yksikkö","--",IF(AND(D143="Oma yksikkö",ISBLANK(G143)),"Puuttuu",IF(AND(D143="Oma yksikkö",NOT(ISBLANK(G143))),"kgCO2e/" &amp; G143,"kgCO2e/" &amp; D143)))</f>
        <v>--</v>
      </c>
      <c r="N143" s="41"/>
      <c r="O143" s="261"/>
      <c r="Q143" s="34"/>
      <c r="R143" s="213" t="str">
        <f>IF(NOT(AND(ISNUMBER(K143),ISNUMBER(C143))),"",C143*K143)</f>
        <v/>
      </c>
      <c r="S143" s="226" t="s">
        <v>160</v>
      </c>
      <c r="T143" s="220"/>
      <c r="U143" s="43"/>
      <c r="V143" s="43"/>
      <c r="W143" s="43"/>
      <c r="X143" s="43"/>
      <c r="Y143" s="43"/>
      <c r="Z143" s="43"/>
      <c r="AA143" s="43"/>
      <c r="AB143" s="43"/>
      <c r="AC143" s="43"/>
      <c r="AD143" s="43"/>
      <c r="AE143" s="43"/>
      <c r="AF143" s="43"/>
      <c r="AG143" s="43"/>
      <c r="AH143" s="43"/>
      <c r="AI143" s="43"/>
      <c r="AJ143" s="43"/>
      <c r="AK143" s="35"/>
      <c r="AL143" s="35"/>
      <c r="AM143" s="35"/>
      <c r="AN143" s="36"/>
      <c r="AO143" s="36"/>
      <c r="AP143" s="36"/>
      <c r="AQ143" s="36"/>
      <c r="AR143" s="36"/>
      <c r="AS143" s="36"/>
      <c r="AT143" s="36"/>
      <c r="AU143" s="36"/>
      <c r="AV143" s="36"/>
      <c r="AW143" s="36"/>
      <c r="AX143" s="36"/>
      <c r="AY143" s="36"/>
      <c r="AZ143" s="36"/>
      <c r="BA143" s="36"/>
      <c r="BB143" s="36"/>
      <c r="BC143" s="36"/>
      <c r="BD143" s="36"/>
      <c r="BE143" s="36"/>
    </row>
    <row r="144" spans="2:59" s="30" customFormat="1" ht="15" x14ac:dyDescent="0.2">
      <c r="B144" s="160" t="s">
        <v>307</v>
      </c>
      <c r="C144" s="33"/>
      <c r="D144" s="81"/>
      <c r="G144" s="33"/>
      <c r="H144" s="81"/>
      <c r="J144" s="32"/>
      <c r="K144" s="37"/>
      <c r="L144" s="37"/>
      <c r="M144" s="37"/>
      <c r="N144" s="37"/>
      <c r="O144" s="262"/>
      <c r="Q144" s="34"/>
      <c r="R144" s="216"/>
      <c r="S144" s="43"/>
      <c r="T144" s="220"/>
      <c r="U144" s="43"/>
      <c r="V144" s="43"/>
      <c r="W144" s="43"/>
      <c r="X144" s="43"/>
      <c r="Y144" s="43"/>
      <c r="Z144" s="43"/>
      <c r="AA144" s="43"/>
      <c r="AB144" s="43"/>
      <c r="AC144" s="43"/>
      <c r="AD144" s="43"/>
      <c r="AE144" s="43"/>
      <c r="AF144" s="43"/>
      <c r="AG144" s="43"/>
      <c r="AH144" s="43"/>
      <c r="AI144" s="43"/>
      <c r="AJ144" s="43"/>
      <c r="AK144" s="35"/>
      <c r="AL144" s="35"/>
      <c r="AM144" s="35"/>
      <c r="AN144" s="36"/>
      <c r="AO144" s="36"/>
      <c r="AP144" s="36"/>
      <c r="AQ144" s="36"/>
      <c r="AR144" s="36"/>
      <c r="AS144" s="36"/>
      <c r="AT144" s="36"/>
      <c r="AU144" s="36"/>
      <c r="AV144" s="36"/>
      <c r="AW144" s="36"/>
      <c r="AX144" s="36"/>
      <c r="AY144" s="36"/>
      <c r="AZ144" s="36"/>
      <c r="BA144" s="36"/>
      <c r="BB144" s="36"/>
      <c r="BC144" s="36"/>
      <c r="BD144" s="36"/>
      <c r="BE144" s="36"/>
    </row>
    <row r="145" spans="2:57" s="30" customFormat="1" ht="45" x14ac:dyDescent="0.2">
      <c r="B145" s="76" t="s">
        <v>694</v>
      </c>
      <c r="C145" s="474" t="s">
        <v>110</v>
      </c>
      <c r="D145" s="474"/>
      <c r="G145" s="37" t="str">
        <f>IF(C145="Muu tuote tai materiaali","Muun tuotteen tai materiaalin määrän yksikkö","")</f>
        <v/>
      </c>
      <c r="H145" s="81"/>
      <c r="J145" s="32"/>
      <c r="K145" s="37" t="s">
        <v>297</v>
      </c>
      <c r="L145" s="37" t="s">
        <v>185</v>
      </c>
      <c r="M145" s="37" t="s">
        <v>287</v>
      </c>
      <c r="N145" s="37"/>
      <c r="O145" s="262"/>
      <c r="Q145" s="34"/>
      <c r="R145" s="43" t="s">
        <v>318</v>
      </c>
      <c r="S145" s="43"/>
      <c r="T145" s="220"/>
      <c r="U145" s="43"/>
      <c r="V145" s="43"/>
      <c r="W145" s="43"/>
      <c r="X145" s="43"/>
      <c r="Y145" s="43"/>
      <c r="Z145" s="43"/>
      <c r="AA145" s="43"/>
      <c r="AB145" s="43"/>
      <c r="AC145" s="43"/>
      <c r="AD145" s="43"/>
      <c r="AE145" s="43"/>
      <c r="AF145" s="43"/>
      <c r="AG145" s="43"/>
      <c r="AH145" s="43"/>
      <c r="AI145" s="43"/>
      <c r="AJ145" s="43"/>
      <c r="AK145" s="35"/>
      <c r="AL145" s="35"/>
      <c r="AM145" s="35"/>
      <c r="AN145" s="36"/>
      <c r="AO145" s="36"/>
      <c r="AP145" s="36"/>
      <c r="AQ145" s="36"/>
      <c r="AR145" s="36"/>
      <c r="AS145" s="36"/>
      <c r="AT145" s="36"/>
      <c r="AU145" s="36"/>
      <c r="AV145" s="36"/>
      <c r="AW145" s="36"/>
      <c r="AX145" s="36"/>
      <c r="AY145" s="36"/>
      <c r="AZ145" s="36"/>
      <c r="BA145" s="36"/>
      <c r="BB145" s="36"/>
      <c r="BC145" s="36"/>
      <c r="BD145" s="36"/>
      <c r="BE145" s="36"/>
    </row>
    <row r="146" spans="2:57" s="30" customFormat="1" ht="15" x14ac:dyDescent="0.2">
      <c r="B146" s="52" t="s">
        <v>331</v>
      </c>
      <c r="C146" s="156"/>
      <c r="D146" s="81" t="str">
        <f>IFERROR(VLOOKUP(C145,Materiaalit!$C$48:$D$66,2,FALSE),"Yksikkö")</f>
        <v>Yksikkö</v>
      </c>
      <c r="E146" s="33"/>
      <c r="G146" s="41"/>
      <c r="H146" s="81"/>
      <c r="J146" s="32" t="s">
        <v>332</v>
      </c>
      <c r="K146" s="92" t="str">
        <f>IFERROR(IF(ISNUMBER(L146),L146,VLOOKUP(C145,Materiaalit!$C$46:$G$66,5,FALSE)),"--")</f>
        <v>--</v>
      </c>
      <c r="L146" s="39"/>
      <c r="M146" s="396" t="str">
        <f>IF(D146="Yksikkö","--",IF(AND(D146="Oma yksikkö",ISBLANK(G146)),"Puuttuu",IF(AND(D146="Oma yksikkö",NOT(ISBLANK(G146))),"kgCO2e/" &amp; G146,"kgCO2e/" &amp; D146)))</f>
        <v>--</v>
      </c>
      <c r="N146" s="41"/>
      <c r="O146" s="261"/>
      <c r="Q146" s="34"/>
      <c r="R146" s="213" t="str">
        <f>IF(NOT(AND(ISNUMBER(K146),ISNUMBER(C146))),"",C146*K146)</f>
        <v/>
      </c>
      <c r="S146" s="226" t="s">
        <v>160</v>
      </c>
      <c r="T146" s="220"/>
      <c r="U146" s="43"/>
      <c r="V146" s="43"/>
      <c r="W146" s="43"/>
      <c r="X146" s="43"/>
      <c r="Y146" s="43"/>
      <c r="Z146" s="43"/>
      <c r="AA146" s="43"/>
      <c r="AB146" s="43"/>
      <c r="AC146" s="43"/>
      <c r="AD146" s="43"/>
      <c r="AE146" s="43"/>
      <c r="AF146" s="43"/>
      <c r="AG146" s="43"/>
      <c r="AH146" s="43"/>
      <c r="AI146" s="43"/>
      <c r="AJ146" s="43"/>
      <c r="AK146" s="35"/>
      <c r="AL146" s="35"/>
      <c r="AM146" s="35"/>
      <c r="AN146" s="36"/>
      <c r="AO146" s="36"/>
      <c r="AP146" s="36"/>
      <c r="AQ146" s="36"/>
      <c r="AR146" s="36"/>
      <c r="AS146" s="36"/>
      <c r="AT146" s="36"/>
      <c r="AU146" s="36"/>
      <c r="AV146" s="36"/>
      <c r="AW146" s="36"/>
      <c r="AX146" s="36"/>
      <c r="AY146" s="36"/>
      <c r="AZ146" s="36"/>
      <c r="BA146" s="36"/>
      <c r="BB146" s="36"/>
      <c r="BC146" s="36"/>
      <c r="BD146" s="36"/>
      <c r="BE146" s="36"/>
    </row>
    <row r="147" spans="2:57" s="30" customFormat="1" ht="15" x14ac:dyDescent="0.2">
      <c r="C147" s="33"/>
      <c r="D147" s="81"/>
      <c r="G147" s="33"/>
      <c r="H147" s="81"/>
      <c r="J147" s="32"/>
      <c r="K147" s="33"/>
      <c r="L147" s="33"/>
      <c r="M147" s="81"/>
      <c r="N147" s="81"/>
      <c r="O147" s="81"/>
      <c r="Q147" s="34"/>
      <c r="R147" s="102"/>
      <c r="S147" s="43"/>
      <c r="T147" s="43"/>
      <c r="U147" s="43"/>
      <c r="V147" s="43"/>
      <c r="W147" s="43"/>
      <c r="X147" s="43"/>
      <c r="Y147" s="43"/>
      <c r="Z147" s="43"/>
      <c r="AA147" s="43"/>
      <c r="AB147" s="43"/>
      <c r="AC147" s="43"/>
      <c r="AD147" s="43"/>
      <c r="AE147" s="43"/>
      <c r="AF147" s="43"/>
      <c r="AG147" s="43"/>
      <c r="AH147" s="43"/>
      <c r="AI147" s="43"/>
      <c r="AJ147" s="43"/>
      <c r="AK147" s="35"/>
      <c r="AL147" s="35"/>
      <c r="AM147" s="35"/>
      <c r="AN147" s="36"/>
      <c r="AO147" s="36"/>
      <c r="AP147" s="36"/>
      <c r="AQ147" s="36"/>
      <c r="AR147" s="36"/>
      <c r="AS147" s="36"/>
      <c r="AT147" s="36"/>
      <c r="AU147" s="36"/>
      <c r="AV147" s="36"/>
      <c r="AW147" s="36"/>
      <c r="AX147" s="36"/>
      <c r="AY147" s="36"/>
      <c r="AZ147" s="36"/>
      <c r="BA147" s="36"/>
      <c r="BB147" s="36"/>
      <c r="BC147" s="36"/>
      <c r="BD147" s="36"/>
      <c r="BE147" s="36"/>
    </row>
    <row r="148" spans="2:57" s="289" customFormat="1" ht="18" x14ac:dyDescent="0.2">
      <c r="B148" s="286" t="s">
        <v>286</v>
      </c>
      <c r="C148" s="287"/>
      <c r="D148" s="288"/>
      <c r="G148" s="287"/>
      <c r="H148" s="288"/>
      <c r="K148" s="287"/>
      <c r="L148" s="287"/>
      <c r="M148" s="288"/>
      <c r="N148" s="288"/>
      <c r="O148" s="291"/>
      <c r="P148" s="311"/>
      <c r="Q148" s="295"/>
      <c r="S148" s="294"/>
      <c r="T148" s="294"/>
      <c r="U148" s="294"/>
      <c r="V148" s="294"/>
      <c r="W148" s="294"/>
      <c r="X148" s="294"/>
      <c r="Y148" s="294"/>
      <c r="Z148" s="294"/>
      <c r="AA148" s="294"/>
      <c r="AB148" s="294"/>
      <c r="AC148" s="294"/>
      <c r="AD148" s="294"/>
      <c r="AE148" s="294"/>
      <c r="AF148" s="294"/>
      <c r="AG148" s="294"/>
      <c r="AH148" s="294"/>
      <c r="AI148" s="294"/>
      <c r="AJ148" s="294"/>
      <c r="AK148" s="294"/>
      <c r="AL148" s="294"/>
      <c r="AM148" s="294"/>
      <c r="AN148" s="295"/>
      <c r="AO148" s="295"/>
      <c r="AP148" s="295"/>
      <c r="AQ148" s="295"/>
      <c r="AR148" s="295"/>
      <c r="AS148" s="295"/>
      <c r="AT148" s="295"/>
      <c r="AU148" s="295"/>
      <c r="AV148" s="295"/>
      <c r="AW148" s="295"/>
      <c r="AX148" s="295"/>
      <c r="AY148" s="295"/>
      <c r="AZ148" s="295"/>
      <c r="BA148" s="295"/>
      <c r="BB148" s="295"/>
      <c r="BC148" s="295"/>
      <c r="BD148" s="295"/>
      <c r="BE148" s="295"/>
    </row>
    <row r="149" spans="2:57" s="30" customFormat="1" ht="15.75" x14ac:dyDescent="0.2">
      <c r="B149" s="8"/>
      <c r="C149" s="33"/>
      <c r="D149" s="81"/>
      <c r="G149" s="33"/>
      <c r="H149" s="81"/>
      <c r="J149" s="32"/>
      <c r="K149" s="33"/>
      <c r="L149" s="33"/>
      <c r="M149" s="81"/>
      <c r="N149" s="81"/>
      <c r="O149" s="81"/>
      <c r="Q149" s="34"/>
      <c r="R149" s="102"/>
      <c r="S149" s="43"/>
      <c r="T149" s="43"/>
      <c r="U149" s="43"/>
      <c r="V149" s="43"/>
      <c r="W149" s="43"/>
      <c r="X149" s="43"/>
      <c r="Y149" s="43"/>
      <c r="Z149" s="43"/>
      <c r="AA149" s="43"/>
      <c r="AB149" s="43"/>
      <c r="AC149" s="43"/>
      <c r="AD149" s="43"/>
      <c r="AE149" s="43"/>
      <c r="AF149" s="43"/>
      <c r="AG149" s="43"/>
      <c r="AH149" s="43"/>
      <c r="AI149" s="43"/>
      <c r="AJ149" s="43"/>
      <c r="AK149" s="35"/>
      <c r="AL149" s="35"/>
      <c r="AM149" s="35"/>
      <c r="AN149" s="36"/>
      <c r="AO149" s="36"/>
      <c r="AP149" s="36"/>
      <c r="AQ149" s="36"/>
      <c r="AR149" s="36"/>
      <c r="AS149" s="36"/>
      <c r="AT149" s="36"/>
      <c r="AU149" s="36"/>
      <c r="AV149" s="36"/>
      <c r="AW149" s="36"/>
      <c r="AX149" s="36"/>
      <c r="AY149" s="36"/>
      <c r="AZ149" s="36"/>
      <c r="BA149" s="36"/>
      <c r="BB149" s="36"/>
      <c r="BC149" s="36"/>
      <c r="BD149" s="36"/>
      <c r="BE149" s="36"/>
    </row>
    <row r="150" spans="2:57" s="30" customFormat="1" ht="45.75" customHeight="1" x14ac:dyDescent="0.2">
      <c r="B150" s="477" t="s">
        <v>516</v>
      </c>
      <c r="C150" s="477"/>
      <c r="D150" s="477"/>
      <c r="E150" s="477"/>
      <c r="F150" s="477"/>
      <c r="G150" s="477"/>
      <c r="H150" s="477"/>
      <c r="J150" s="32"/>
      <c r="K150" s="41"/>
      <c r="L150" s="41"/>
      <c r="M150" s="40"/>
      <c r="N150" s="40"/>
      <c r="O150" s="249" t="s">
        <v>584</v>
      </c>
      <c r="Q150" s="34"/>
      <c r="R150" s="216"/>
      <c r="S150" s="226"/>
      <c r="T150" s="43"/>
      <c r="U150" s="43"/>
      <c r="V150" s="43"/>
      <c r="W150" s="43"/>
      <c r="X150" s="43"/>
      <c r="Y150" s="43"/>
      <c r="Z150" s="43"/>
      <c r="AA150" s="43"/>
      <c r="AB150" s="220"/>
      <c r="AC150" s="43"/>
      <c r="AD150" s="43"/>
      <c r="AE150" s="43"/>
      <c r="AF150" s="43"/>
      <c r="AG150" s="43"/>
      <c r="AH150" s="43"/>
      <c r="AI150" s="43"/>
      <c r="AJ150" s="43"/>
      <c r="AK150" s="35"/>
      <c r="AL150" s="35"/>
      <c r="AM150" s="35"/>
      <c r="AN150" s="36"/>
      <c r="AO150" s="36"/>
      <c r="AP150" s="36"/>
      <c r="AQ150" s="36"/>
      <c r="AR150" s="36"/>
      <c r="AS150" s="36"/>
      <c r="AT150" s="36"/>
      <c r="AU150" s="36"/>
      <c r="AV150" s="36"/>
      <c r="AW150" s="36"/>
      <c r="AX150" s="36"/>
      <c r="AY150" s="36"/>
      <c r="AZ150" s="36"/>
      <c r="BA150" s="36"/>
      <c r="BB150" s="36"/>
      <c r="BC150" s="36"/>
      <c r="BD150" s="36"/>
      <c r="BE150" s="36"/>
    </row>
    <row r="151" spans="2:57" s="30" customFormat="1" ht="60.75" customHeight="1" x14ac:dyDescent="0.2">
      <c r="B151" s="477" t="s">
        <v>661</v>
      </c>
      <c r="C151" s="477"/>
      <c r="D151" s="477"/>
      <c r="E151" s="477"/>
      <c r="F151" s="477"/>
      <c r="G151" s="477"/>
      <c r="H151" s="477"/>
      <c r="J151" s="32"/>
      <c r="K151" s="41"/>
      <c r="L151" s="41"/>
      <c r="M151" s="40"/>
      <c r="N151" s="40"/>
      <c r="O151" s="250"/>
      <c r="Q151" s="34"/>
      <c r="R151" s="216"/>
      <c r="S151" s="226"/>
      <c r="T151" s="43"/>
      <c r="U151" s="43"/>
      <c r="V151" s="43"/>
      <c r="W151" s="43"/>
      <c r="X151" s="43"/>
      <c r="Y151" s="43"/>
      <c r="Z151" s="43"/>
      <c r="AA151" s="43"/>
      <c r="AB151" s="220"/>
      <c r="AC151" s="43"/>
      <c r="AD151" s="43"/>
      <c r="AE151" s="43"/>
      <c r="AF151" s="43"/>
      <c r="AG151" s="43"/>
      <c r="AH151" s="43"/>
      <c r="AI151" s="43"/>
      <c r="AJ151" s="43"/>
      <c r="AK151" s="35"/>
      <c r="AL151" s="35"/>
      <c r="AM151" s="35"/>
      <c r="AN151" s="36"/>
      <c r="AO151" s="36"/>
      <c r="AP151" s="36"/>
      <c r="AQ151" s="36"/>
      <c r="AR151" s="36"/>
      <c r="AS151" s="36"/>
      <c r="AT151" s="36"/>
      <c r="AU151" s="36"/>
      <c r="AV151" s="36"/>
      <c r="AW151" s="36"/>
      <c r="AX151" s="36"/>
      <c r="AY151" s="36"/>
      <c r="AZ151" s="36"/>
      <c r="BA151" s="36"/>
      <c r="BB151" s="36"/>
      <c r="BC151" s="36"/>
      <c r="BD151" s="36"/>
      <c r="BE151" s="36"/>
    </row>
    <row r="152" spans="2:57" s="30" customFormat="1" ht="15.75" x14ac:dyDescent="0.2">
      <c r="B152" s="8"/>
      <c r="C152" s="33"/>
      <c r="D152" s="81"/>
      <c r="G152" s="33"/>
      <c r="H152" s="81"/>
      <c r="J152" s="32"/>
      <c r="K152" s="33"/>
      <c r="L152" s="33"/>
      <c r="M152" s="81"/>
      <c r="N152" s="81"/>
      <c r="O152" s="96"/>
      <c r="Q152" s="34"/>
      <c r="R152" s="102"/>
      <c r="S152" s="43"/>
      <c r="T152" s="43"/>
      <c r="U152" s="43"/>
      <c r="V152" s="43"/>
      <c r="W152" s="43"/>
      <c r="X152" s="43"/>
      <c r="Y152" s="43"/>
      <c r="Z152" s="43"/>
      <c r="AA152" s="43"/>
      <c r="AB152" s="43"/>
      <c r="AC152" s="43"/>
      <c r="AD152" s="43"/>
      <c r="AE152" s="43"/>
      <c r="AF152" s="43"/>
      <c r="AG152" s="43"/>
      <c r="AH152" s="43"/>
      <c r="AI152" s="43"/>
      <c r="AJ152" s="43"/>
      <c r="AK152" s="35"/>
      <c r="AL152" s="35"/>
      <c r="AM152" s="35"/>
      <c r="AN152" s="36"/>
      <c r="AO152" s="36"/>
      <c r="AP152" s="36"/>
      <c r="AQ152" s="36"/>
      <c r="AR152" s="36"/>
      <c r="AS152" s="36"/>
      <c r="AT152" s="36"/>
      <c r="AU152" s="36"/>
      <c r="AV152" s="36"/>
      <c r="AW152" s="36"/>
      <c r="AX152" s="36"/>
      <c r="AY152" s="36"/>
      <c r="AZ152" s="36"/>
      <c r="BA152" s="36"/>
      <c r="BB152" s="36"/>
      <c r="BC152" s="36"/>
      <c r="BD152" s="36"/>
      <c r="BE152" s="36"/>
    </row>
    <row r="153" spans="2:57" s="30" customFormat="1" ht="15.75" x14ac:dyDescent="0.2">
      <c r="B153" s="8" t="str">
        <f>B132</f>
        <v>Kemikaali-, tuote- tai materiaalilaji 1</v>
      </c>
      <c r="C153" s="33"/>
      <c r="D153" s="81"/>
      <c r="G153" s="33"/>
      <c r="H153" s="81"/>
      <c r="J153" s="32"/>
      <c r="K153" s="33"/>
      <c r="L153" s="33"/>
      <c r="M153" s="81"/>
      <c r="N153" s="81"/>
      <c r="O153" s="96"/>
      <c r="Q153" s="34"/>
      <c r="R153" s="43" t="s">
        <v>318</v>
      </c>
      <c r="S153" s="43"/>
      <c r="T153" s="43"/>
      <c r="U153" s="43"/>
      <c r="V153" s="43"/>
      <c r="W153" s="43"/>
      <c r="X153" s="43"/>
      <c r="Y153" s="43"/>
      <c r="Z153" s="43"/>
      <c r="AA153" s="43"/>
      <c r="AB153" s="220"/>
      <c r="AC153" s="43"/>
      <c r="AD153" s="43"/>
      <c r="AE153" s="43"/>
      <c r="AF153" s="43"/>
      <c r="AG153" s="43"/>
      <c r="AH153" s="43"/>
      <c r="AI153" s="43"/>
      <c r="AJ153" s="43"/>
      <c r="AK153" s="35"/>
      <c r="AL153" s="35"/>
      <c r="AM153" s="35"/>
      <c r="AN153" s="36"/>
      <c r="AO153" s="36"/>
      <c r="AP153" s="36"/>
      <c r="AQ153" s="36"/>
      <c r="AR153" s="36"/>
      <c r="AS153" s="36"/>
      <c r="AT153" s="36"/>
      <c r="AU153" s="36"/>
      <c r="AV153" s="36"/>
      <c r="AW153" s="36"/>
      <c r="AX153" s="36"/>
      <c r="AY153" s="36"/>
      <c r="AZ153" s="36"/>
      <c r="BA153" s="36"/>
      <c r="BB153" s="36"/>
      <c r="BC153" s="36"/>
      <c r="BD153" s="36"/>
      <c r="BE153" s="36"/>
    </row>
    <row r="154" spans="2:57" s="30" customFormat="1" ht="15" x14ac:dyDescent="0.2">
      <c r="B154" s="52" t="s">
        <v>340</v>
      </c>
      <c r="C154" s="152"/>
      <c r="D154" s="81" t="s">
        <v>252</v>
      </c>
      <c r="G154" s="33" t="s">
        <v>308</v>
      </c>
      <c r="H154" s="81"/>
      <c r="J154" s="32"/>
      <c r="K154" s="37" t="s">
        <v>297</v>
      </c>
      <c r="L154" s="37" t="s">
        <v>185</v>
      </c>
      <c r="M154" s="81"/>
      <c r="N154" s="81"/>
      <c r="O154" s="96"/>
      <c r="Q154" s="34"/>
      <c r="R154" s="213" t="str">
        <f>IF(AND(ISNUMBER(G155),ISNUMBER(C154)),SUM(R155,R158:R160),"")</f>
        <v/>
      </c>
      <c r="S154" s="226" t="s">
        <v>160</v>
      </c>
      <c r="T154" s="43"/>
      <c r="U154" s="43"/>
      <c r="V154" s="43"/>
      <c r="W154" s="43"/>
      <c r="X154" s="43"/>
      <c r="Y154" s="43"/>
      <c r="Z154" s="43"/>
      <c r="AA154" s="43"/>
      <c r="AB154" s="220"/>
      <c r="AC154" s="43"/>
      <c r="AD154" s="43"/>
      <c r="AE154" s="43"/>
      <c r="AF154" s="43"/>
      <c r="AG154" s="43"/>
      <c r="AH154" s="43"/>
      <c r="AI154" s="43"/>
      <c r="AJ154" s="43"/>
      <c r="AK154" s="35"/>
      <c r="AL154" s="35"/>
      <c r="AM154" s="35"/>
      <c r="AN154" s="36"/>
      <c r="AO154" s="36"/>
      <c r="AP154" s="36"/>
      <c r="AQ154" s="36"/>
      <c r="AR154" s="36"/>
      <c r="AS154" s="36"/>
      <c r="AT154" s="36"/>
      <c r="AU154" s="36"/>
      <c r="AV154" s="36"/>
      <c r="AW154" s="36"/>
      <c r="AX154" s="36"/>
      <c r="AY154" s="36"/>
      <c r="AZ154" s="36"/>
      <c r="BA154" s="36"/>
      <c r="BB154" s="36"/>
      <c r="BC154" s="36"/>
      <c r="BD154" s="36"/>
      <c r="BE154" s="36"/>
    </row>
    <row r="155" spans="2:57" s="30" customFormat="1" ht="30" x14ac:dyDescent="0.2">
      <c r="B155" s="151" t="s">
        <v>660</v>
      </c>
      <c r="C155" s="475" t="s">
        <v>253</v>
      </c>
      <c r="D155" s="476"/>
      <c r="G155" s="152"/>
      <c r="H155" s="81" t="s">
        <v>5</v>
      </c>
      <c r="J155" s="169" t="s">
        <v>395</v>
      </c>
      <c r="K155" s="92" t="str">
        <f>IFERROR(IF(ISNUMBER(L155),L155,(VLOOKUP(C156,Kalusto!$C$45:$G$84,5,FALSE)*(VLOOKUP(C157,Muut!$D$40:$E$43,2,FALSE)))),"--")</f>
        <v>--</v>
      </c>
      <c r="L155" s="39"/>
      <c r="M155" s="40" t="s">
        <v>184</v>
      </c>
      <c r="N155" s="40"/>
      <c r="O155" s="259"/>
      <c r="Q155" s="34"/>
      <c r="R155" s="213" t="str">
        <f>IF(ISNUMBER(Y156*X156*K155),Y156*X156*K155,"")</f>
        <v/>
      </c>
      <c r="S155" s="226" t="s">
        <v>160</v>
      </c>
      <c r="T155" s="43" t="s">
        <v>400</v>
      </c>
      <c r="U155" s="43" t="s">
        <v>349</v>
      </c>
      <c r="V155" s="43" t="s">
        <v>397</v>
      </c>
      <c r="W155" s="43" t="s">
        <v>398</v>
      </c>
      <c r="X155" s="43" t="s">
        <v>401</v>
      </c>
      <c r="Y155" s="43" t="s">
        <v>403</v>
      </c>
      <c r="Z155" s="43" t="s">
        <v>339</v>
      </c>
      <c r="AA155" s="43"/>
      <c r="AB155" s="220"/>
      <c r="AC155" s="43"/>
      <c r="AD155" s="43"/>
      <c r="AE155" s="43"/>
      <c r="AF155" s="43"/>
      <c r="AG155" s="43"/>
      <c r="AH155" s="43"/>
      <c r="AI155" s="43"/>
      <c r="AJ155" s="43"/>
      <c r="AK155" s="35"/>
      <c r="AL155" s="35"/>
      <c r="AM155" s="35"/>
      <c r="AN155" s="36"/>
      <c r="AO155" s="36"/>
      <c r="AP155" s="36"/>
      <c r="AQ155" s="36"/>
      <c r="AR155" s="36"/>
      <c r="AS155" s="36"/>
      <c r="AT155" s="36"/>
      <c r="AU155" s="36"/>
      <c r="AV155" s="36"/>
      <c r="AW155" s="36"/>
      <c r="AX155" s="36"/>
      <c r="AY155" s="36"/>
      <c r="AZ155" s="36"/>
      <c r="BA155" s="36"/>
      <c r="BB155" s="36"/>
      <c r="BC155" s="36"/>
      <c r="BD155" s="36"/>
      <c r="BE155" s="36"/>
    </row>
    <row r="156" spans="2:57" s="30" customFormat="1" ht="30" x14ac:dyDescent="0.2">
      <c r="B156" s="76" t="s">
        <v>479</v>
      </c>
      <c r="C156" s="471" t="s">
        <v>298</v>
      </c>
      <c r="D156" s="472"/>
      <c r="E156" s="472"/>
      <c r="F156" s="472"/>
      <c r="G156" s="473"/>
      <c r="J156" s="32"/>
      <c r="K156" s="37"/>
      <c r="L156" s="37"/>
      <c r="M156" s="40"/>
      <c r="N156" s="40"/>
      <c r="O156" s="259"/>
      <c r="Q156" s="45"/>
      <c r="R156" s="220"/>
      <c r="S156" s="43"/>
      <c r="T156" s="211" t="str">
        <f>IFERROR(IF(ISNUMBER(L155),"Kohdetieto",VLOOKUP(C156,Kalusto!$C$45:$L$84,7,FALSE)),"--")</f>
        <v>--</v>
      </c>
      <c r="U156" s="211" t="str">
        <f>IFERROR(IF(ISNUMBER(L155),"Kohdetieto",VLOOKUP(C156,Kalusto!$C$45:$L$84,8,FALSE)),"--")</f>
        <v>--</v>
      </c>
      <c r="V156" s="212" t="str">
        <f>IFERROR(IF(ISNUMBER(L155),"Kohdetieto",VLOOKUP(C156,Kalusto!$C$45:$L$84,9,FALSE)),"--")</f>
        <v>--</v>
      </c>
      <c r="W156" s="212" t="str">
        <f>IFERROR(IF(ISNUMBER(L155),"Kohdetieto",VLOOKUP(C156,Kalusto!$C$45:$L$84,10,FALSE)),"--")</f>
        <v>--</v>
      </c>
      <c r="X156" s="213" t="str">
        <f>IF(ISBLANK(C154),"",C154/1000)</f>
        <v/>
      </c>
      <c r="Y156" s="211" t="str">
        <f>IF(ISNUMBER(G155),G155,"")</f>
        <v/>
      </c>
      <c r="Z156" s="214" t="str">
        <f>IF(ISNUMBER(L155),L155,K155)</f>
        <v>--</v>
      </c>
      <c r="AA156" s="43"/>
      <c r="AB156" s="220"/>
      <c r="AC156" s="43"/>
      <c r="AD156" s="43"/>
      <c r="AE156" s="43"/>
      <c r="AF156" s="43"/>
      <c r="AG156" s="43"/>
      <c r="AH156" s="43"/>
      <c r="AI156" s="43"/>
      <c r="AJ156" s="43"/>
      <c r="AK156" s="35"/>
      <c r="AL156" s="35"/>
      <c r="AM156" s="35"/>
      <c r="AN156" s="36"/>
      <c r="AO156" s="36"/>
      <c r="AP156" s="36"/>
      <c r="AQ156" s="36"/>
      <c r="AR156" s="36"/>
      <c r="AS156" s="36"/>
      <c r="AT156" s="36"/>
      <c r="AU156" s="36"/>
      <c r="AV156" s="36"/>
      <c r="AW156" s="36"/>
      <c r="AX156" s="36"/>
      <c r="AY156" s="36"/>
      <c r="AZ156" s="36"/>
      <c r="BA156" s="36"/>
      <c r="BB156" s="36"/>
      <c r="BC156" s="36"/>
      <c r="BD156" s="36"/>
      <c r="BE156" s="36"/>
    </row>
    <row r="157" spans="2:57" s="30" customFormat="1" ht="15" x14ac:dyDescent="0.2">
      <c r="B157" s="76" t="s">
        <v>457</v>
      </c>
      <c r="C157" s="156" t="s">
        <v>309</v>
      </c>
      <c r="D157" s="33"/>
      <c r="E157" s="33"/>
      <c r="F157" s="33"/>
      <c r="G157" s="33"/>
      <c r="H157" s="57"/>
      <c r="J157" s="169"/>
      <c r="K157" s="37" t="s">
        <v>297</v>
      </c>
      <c r="L157" s="37" t="s">
        <v>185</v>
      </c>
      <c r="M157" s="40"/>
      <c r="N157" s="40"/>
      <c r="O157" s="259"/>
      <c r="Q157" s="45"/>
      <c r="R157" s="43"/>
      <c r="S157" s="43"/>
      <c r="T157" s="43"/>
      <c r="U157" s="43"/>
      <c r="V157" s="215"/>
      <c r="W157" s="215"/>
      <c r="X157" s="216"/>
      <c r="Y157" s="43"/>
      <c r="Z157" s="216"/>
      <c r="AA157" s="217"/>
      <c r="AB157" s="216"/>
      <c r="AC157" s="216"/>
      <c r="AD157" s="216"/>
      <c r="AE157" s="216"/>
      <c r="AF157" s="217"/>
      <c r="AG157" s="216"/>
      <c r="AH157" s="43"/>
      <c r="AI157" s="43"/>
      <c r="AJ157" s="43"/>
      <c r="AK157" s="104"/>
      <c r="AL157" s="35"/>
      <c r="AM157" s="35"/>
      <c r="AN157" s="36"/>
      <c r="AO157" s="36"/>
      <c r="AP157" s="36"/>
      <c r="AQ157" s="36"/>
      <c r="AR157" s="36"/>
      <c r="AS157" s="36"/>
      <c r="AT157" s="36"/>
      <c r="AU157" s="36"/>
      <c r="AV157" s="36"/>
      <c r="AW157" s="36"/>
      <c r="AX157" s="36"/>
      <c r="AY157" s="36"/>
      <c r="AZ157" s="36"/>
      <c r="BA157" s="36"/>
      <c r="BB157" s="36"/>
      <c r="BC157" s="36"/>
      <c r="BD157" s="36"/>
      <c r="BE157" s="36"/>
    </row>
    <row r="158" spans="2:57" s="30" customFormat="1" ht="15" x14ac:dyDescent="0.2">
      <c r="B158" s="151" t="s">
        <v>491</v>
      </c>
      <c r="C158" s="474" t="s">
        <v>739</v>
      </c>
      <c r="D158" s="474"/>
      <c r="E158" s="165"/>
      <c r="G158" s="152"/>
      <c r="H158" s="81" t="s">
        <v>5</v>
      </c>
      <c r="J158" s="32" t="str">
        <f>IFERROR(VLOOKUP(C158,Kalusto!$B$107:$C$110,2,FALSE),"Valitse kuljetustapa")</f>
        <v>Valitse kuljetustapa</v>
      </c>
      <c r="K158" s="92" t="str">
        <f>IFERROR(IF(ISNUMBER(L158),L158,VLOOKUP(J158,Kalusto!$C$107:$G$110,5,FALSE)),"--")</f>
        <v>--</v>
      </c>
      <c r="L158" s="39"/>
      <c r="M158" s="40" t="s">
        <v>184</v>
      </c>
      <c r="N158" s="40"/>
      <c r="O158" s="259"/>
      <c r="Q158" s="34"/>
      <c r="R158" s="213" t="str">
        <f>IF(AND(ISNUMBER(G158)*ISNUMBER(C154)),K158*G158*X156,"")</f>
        <v/>
      </c>
      <c r="S158" s="226" t="s">
        <v>160</v>
      </c>
      <c r="T158" s="43"/>
      <c r="U158" s="43"/>
      <c r="V158" s="43"/>
      <c r="W158" s="43"/>
      <c r="X158" s="43"/>
      <c r="Y158" s="43"/>
      <c r="Z158" s="43"/>
      <c r="AA158" s="43"/>
      <c r="AB158" s="220"/>
      <c r="AC158" s="43"/>
      <c r="AD158" s="43"/>
      <c r="AE158" s="43"/>
      <c r="AF158" s="43"/>
      <c r="AG158" s="43"/>
      <c r="AH158" s="43"/>
      <c r="AI158" s="43"/>
      <c r="AJ158" s="43"/>
      <c r="AK158" s="35"/>
      <c r="AL158" s="35"/>
      <c r="AM158" s="35"/>
      <c r="AN158" s="36"/>
      <c r="AO158" s="36"/>
      <c r="AP158" s="36"/>
      <c r="AQ158" s="36"/>
      <c r="AR158" s="36"/>
      <c r="AS158" s="36"/>
      <c r="AT158" s="36"/>
      <c r="AU158" s="36"/>
      <c r="AV158" s="36"/>
      <c r="AW158" s="36"/>
      <c r="AX158" s="36"/>
      <c r="AY158" s="36"/>
      <c r="AZ158" s="36"/>
      <c r="BA158" s="36"/>
      <c r="BB158" s="36"/>
      <c r="BC158" s="36"/>
      <c r="BD158" s="36"/>
      <c r="BE158" s="36"/>
    </row>
    <row r="159" spans="2:57" s="30" customFormat="1" ht="15" x14ac:dyDescent="0.2">
      <c r="B159" s="151" t="s">
        <v>491</v>
      </c>
      <c r="C159" s="474" t="s">
        <v>739</v>
      </c>
      <c r="D159" s="474"/>
      <c r="E159" s="165"/>
      <c r="G159" s="152"/>
      <c r="H159" s="81" t="s">
        <v>5</v>
      </c>
      <c r="J159" s="32" t="str">
        <f>IFERROR(VLOOKUP(C159,Kalusto!$B$107:$C$110,2,FALSE),"Valitse kuljetustapa")</f>
        <v>Valitse kuljetustapa</v>
      </c>
      <c r="K159" s="92" t="str">
        <f>IFERROR(IF(ISNUMBER(L159),L159,VLOOKUP(J159,Kalusto!$C$107:$G$110,5,FALSE)),"--")</f>
        <v>--</v>
      </c>
      <c r="L159" s="39"/>
      <c r="M159" s="40" t="s">
        <v>184</v>
      </c>
      <c r="N159" s="40"/>
      <c r="O159" s="259"/>
      <c r="Q159" s="34"/>
      <c r="R159" s="213" t="str">
        <f>IF(AND(ISNUMBER(G159)*ISNUMBER(C154)),K159*G159*X156,"")</f>
        <v/>
      </c>
      <c r="S159" s="226" t="s">
        <v>160</v>
      </c>
      <c r="T159" s="43"/>
      <c r="U159" s="43"/>
      <c r="V159" s="43"/>
      <c r="W159" s="43"/>
      <c r="X159" s="43"/>
      <c r="Y159" s="43"/>
      <c r="Z159" s="43"/>
      <c r="AA159" s="43"/>
      <c r="AB159" s="220"/>
      <c r="AC159" s="43"/>
      <c r="AD159" s="43"/>
      <c r="AE159" s="43"/>
      <c r="AF159" s="43"/>
      <c r="AG159" s="43"/>
      <c r="AH159" s="43"/>
      <c r="AI159" s="43"/>
      <c r="AJ159" s="43"/>
      <c r="AK159" s="35"/>
      <c r="AL159" s="35"/>
      <c r="AM159" s="35"/>
      <c r="AN159" s="36"/>
      <c r="AO159" s="36"/>
      <c r="AP159" s="36"/>
      <c r="AQ159" s="36"/>
      <c r="AR159" s="36"/>
      <c r="AS159" s="36"/>
      <c r="AT159" s="36"/>
      <c r="AU159" s="36"/>
      <c r="AV159" s="36"/>
      <c r="AW159" s="36"/>
      <c r="AX159" s="36"/>
      <c r="AY159" s="36"/>
      <c r="AZ159" s="36"/>
      <c r="BA159" s="36"/>
      <c r="BB159" s="36"/>
      <c r="BC159" s="36"/>
      <c r="BD159" s="36"/>
      <c r="BE159" s="36"/>
    </row>
    <row r="160" spans="2:57" s="30" customFormat="1" ht="15" x14ac:dyDescent="0.2">
      <c r="B160" s="151" t="s">
        <v>491</v>
      </c>
      <c r="C160" s="474" t="s">
        <v>739</v>
      </c>
      <c r="D160" s="474"/>
      <c r="E160" s="165"/>
      <c r="G160" s="152"/>
      <c r="H160" s="81" t="s">
        <v>5</v>
      </c>
      <c r="J160" s="32" t="str">
        <f>IFERROR(VLOOKUP(C160,Kalusto!$B$107:$C$110,2,FALSE),"Valitse kuljetustapa")</f>
        <v>Valitse kuljetustapa</v>
      </c>
      <c r="K160" s="92" t="str">
        <f>IFERROR(IF(ISNUMBER(L160),L160,VLOOKUP(J160,Kalusto!$C$107:$G$110,5,FALSE)),"--")</f>
        <v>--</v>
      </c>
      <c r="L160" s="39"/>
      <c r="M160" s="40" t="s">
        <v>184</v>
      </c>
      <c r="N160" s="40"/>
      <c r="O160" s="259"/>
      <c r="Q160" s="34"/>
      <c r="R160" s="213" t="str">
        <f>IF(AND(ISNUMBER(G160)*ISNUMBER(C154)),K160*G160*X156,"")</f>
        <v/>
      </c>
      <c r="S160" s="226" t="s">
        <v>160</v>
      </c>
      <c r="T160" s="43"/>
      <c r="U160" s="43"/>
      <c r="V160" s="43"/>
      <c r="W160" s="43"/>
      <c r="X160" s="43"/>
      <c r="Y160" s="43"/>
      <c r="Z160" s="43"/>
      <c r="AA160" s="43"/>
      <c r="AB160" s="220"/>
      <c r="AC160" s="43"/>
      <c r="AD160" s="43"/>
      <c r="AE160" s="43"/>
      <c r="AF160" s="43"/>
      <c r="AG160" s="43"/>
      <c r="AH160" s="43"/>
      <c r="AI160" s="43"/>
      <c r="AJ160" s="43"/>
      <c r="AK160" s="35"/>
      <c r="AL160" s="35"/>
      <c r="AM160" s="35"/>
      <c r="AN160" s="36"/>
      <c r="AO160" s="36"/>
      <c r="AP160" s="36"/>
      <c r="AQ160" s="36"/>
      <c r="AR160" s="36"/>
      <c r="AS160" s="36"/>
      <c r="AT160" s="36"/>
      <c r="AU160" s="36"/>
      <c r="AV160" s="36"/>
      <c r="AW160" s="36"/>
      <c r="AX160" s="36"/>
      <c r="AY160" s="36"/>
      <c r="AZ160" s="36"/>
      <c r="BA160" s="36"/>
      <c r="BB160" s="36"/>
      <c r="BC160" s="36"/>
      <c r="BD160" s="36"/>
      <c r="BE160" s="36"/>
    </row>
    <row r="161" spans="2:57" s="30" customFormat="1" ht="15.75" x14ac:dyDescent="0.2">
      <c r="B161" s="8" t="str">
        <f>B135</f>
        <v>Kemikaali-, tuote- tai materiaalilaji 2</v>
      </c>
      <c r="C161" s="33"/>
      <c r="D161" s="81"/>
      <c r="G161" s="70"/>
      <c r="H161" s="81"/>
      <c r="J161" s="32"/>
      <c r="K161" s="33"/>
      <c r="L161" s="33"/>
      <c r="M161" s="81"/>
      <c r="N161" s="81"/>
      <c r="O161" s="96"/>
      <c r="Q161" s="34"/>
      <c r="R161" s="43" t="s">
        <v>318</v>
      </c>
      <c r="S161" s="43"/>
      <c r="T161" s="43"/>
      <c r="U161" s="43"/>
      <c r="V161" s="43"/>
      <c r="W161" s="43"/>
      <c r="X161" s="43"/>
      <c r="Y161" s="43"/>
      <c r="Z161" s="43"/>
      <c r="AA161" s="43"/>
      <c r="AB161" s="220"/>
      <c r="AC161" s="43"/>
      <c r="AD161" s="43"/>
      <c r="AE161" s="43"/>
      <c r="AF161" s="43"/>
      <c r="AG161" s="43"/>
      <c r="AH161" s="43"/>
      <c r="AI161" s="43"/>
      <c r="AJ161" s="43"/>
      <c r="AK161" s="35"/>
      <c r="AL161" s="35"/>
      <c r="AM161" s="35"/>
      <c r="AN161" s="36"/>
      <c r="AO161" s="36"/>
      <c r="AP161" s="36"/>
      <c r="AQ161" s="36"/>
      <c r="AR161" s="36"/>
      <c r="AS161" s="36"/>
      <c r="AT161" s="36"/>
      <c r="AU161" s="36"/>
      <c r="AV161" s="36"/>
      <c r="AW161" s="36"/>
      <c r="AX161" s="36"/>
      <c r="AY161" s="36"/>
      <c r="AZ161" s="36"/>
      <c r="BA161" s="36"/>
      <c r="BB161" s="36"/>
      <c r="BC161" s="36"/>
      <c r="BD161" s="36"/>
      <c r="BE161" s="36"/>
    </row>
    <row r="162" spans="2:57" s="30" customFormat="1" ht="15" x14ac:dyDescent="0.2">
      <c r="B162" s="52" t="s">
        <v>340</v>
      </c>
      <c r="C162" s="152"/>
      <c r="D162" s="81" t="s">
        <v>252</v>
      </c>
      <c r="G162" s="33"/>
      <c r="H162" s="81"/>
      <c r="J162" s="32"/>
      <c r="K162" s="37" t="s">
        <v>297</v>
      </c>
      <c r="L162" s="37" t="s">
        <v>185</v>
      </c>
      <c r="M162" s="81"/>
      <c r="N162" s="81"/>
      <c r="O162" s="96"/>
      <c r="Q162" s="34"/>
      <c r="R162" s="213" t="str">
        <f>IF(AND(ISNUMBER(G163),ISNUMBER(C162)),SUM(R163,R166:R168),"")</f>
        <v/>
      </c>
      <c r="S162" s="226" t="s">
        <v>160</v>
      </c>
      <c r="T162" s="43"/>
      <c r="U162" s="43"/>
      <c r="V162" s="43"/>
      <c r="W162" s="43"/>
      <c r="X162" s="43"/>
      <c r="Y162" s="43"/>
      <c r="Z162" s="43"/>
      <c r="AA162" s="43"/>
      <c r="AB162" s="220"/>
      <c r="AC162" s="43"/>
      <c r="AD162" s="43"/>
      <c r="AE162" s="43"/>
      <c r="AF162" s="43"/>
      <c r="AG162" s="43"/>
      <c r="AH162" s="43"/>
      <c r="AI162" s="43"/>
      <c r="AJ162" s="43"/>
      <c r="AK162" s="35"/>
      <c r="AL162" s="35"/>
      <c r="AM162" s="35"/>
      <c r="AN162" s="36"/>
      <c r="AO162" s="36"/>
      <c r="AP162" s="36"/>
      <c r="AQ162" s="36"/>
      <c r="AR162" s="36"/>
      <c r="AS162" s="36"/>
      <c r="AT162" s="36"/>
      <c r="AU162" s="36"/>
      <c r="AV162" s="36"/>
      <c r="AW162" s="36"/>
      <c r="AX162" s="36"/>
      <c r="AY162" s="36"/>
      <c r="AZ162" s="36"/>
      <c r="BA162" s="36"/>
      <c r="BB162" s="36"/>
      <c r="BC162" s="36"/>
      <c r="BD162" s="36"/>
      <c r="BE162" s="36"/>
    </row>
    <row r="163" spans="2:57" s="30" customFormat="1" ht="30" x14ac:dyDescent="0.2">
      <c r="B163" s="151" t="s">
        <v>660</v>
      </c>
      <c r="C163" s="475" t="s">
        <v>253</v>
      </c>
      <c r="D163" s="476"/>
      <c r="G163" s="152"/>
      <c r="H163" s="81" t="s">
        <v>5</v>
      </c>
      <c r="J163" s="169" t="s">
        <v>395</v>
      </c>
      <c r="K163" s="92" t="str">
        <f>IFERROR(IF(ISNUMBER(L163),L163,(VLOOKUP(C164,Kalusto!$C$45:$G$84,5,FALSE)*(VLOOKUP(C165,Muut!$D$40:$E$43,2,FALSE)))),"--")</f>
        <v>--</v>
      </c>
      <c r="L163" s="39"/>
      <c r="M163" s="40" t="s">
        <v>184</v>
      </c>
      <c r="N163" s="40"/>
      <c r="O163" s="259"/>
      <c r="Q163" s="34"/>
      <c r="R163" s="213" t="str">
        <f>IF(ISNUMBER(Y164*X164*K163),Y164*X164*K163,"")</f>
        <v/>
      </c>
      <c r="S163" s="226" t="s">
        <v>160</v>
      </c>
      <c r="T163" s="43" t="s">
        <v>400</v>
      </c>
      <c r="U163" s="43" t="s">
        <v>349</v>
      </c>
      <c r="V163" s="43" t="s">
        <v>397</v>
      </c>
      <c r="W163" s="43" t="s">
        <v>398</v>
      </c>
      <c r="X163" s="43" t="s">
        <v>401</v>
      </c>
      <c r="Y163" s="43" t="s">
        <v>403</v>
      </c>
      <c r="Z163" s="43" t="s">
        <v>339</v>
      </c>
      <c r="AA163" s="43"/>
      <c r="AB163" s="220"/>
      <c r="AC163" s="43"/>
      <c r="AD163" s="43"/>
      <c r="AE163" s="43"/>
      <c r="AF163" s="43"/>
      <c r="AG163" s="43"/>
      <c r="AH163" s="43"/>
      <c r="AI163" s="43"/>
      <c r="AJ163" s="43"/>
      <c r="AK163" s="35"/>
      <c r="AL163" s="35"/>
      <c r="AM163" s="35"/>
      <c r="AN163" s="36"/>
      <c r="AO163" s="36"/>
      <c r="AP163" s="36"/>
      <c r="AQ163" s="36"/>
      <c r="AR163" s="36"/>
      <c r="AS163" s="36"/>
      <c r="AT163" s="36"/>
      <c r="AU163" s="36"/>
      <c r="AV163" s="36"/>
      <c r="AW163" s="36"/>
      <c r="AX163" s="36"/>
      <c r="AY163" s="36"/>
      <c r="AZ163" s="36"/>
      <c r="BA163" s="36"/>
      <c r="BB163" s="36"/>
      <c r="BC163" s="36"/>
      <c r="BD163" s="36"/>
      <c r="BE163" s="36"/>
    </row>
    <row r="164" spans="2:57" s="30" customFormat="1" ht="15" x14ac:dyDescent="0.2">
      <c r="B164" s="76" t="s">
        <v>342</v>
      </c>
      <c r="C164" s="471" t="s">
        <v>298</v>
      </c>
      <c r="D164" s="472"/>
      <c r="E164" s="472"/>
      <c r="F164" s="472"/>
      <c r="G164" s="473"/>
      <c r="J164" s="32"/>
      <c r="K164" s="37"/>
      <c r="L164" s="37"/>
      <c r="M164" s="40"/>
      <c r="N164" s="40"/>
      <c r="O164" s="259"/>
      <c r="Q164" s="45"/>
      <c r="R164" s="220"/>
      <c r="S164" s="43"/>
      <c r="T164" s="211" t="str">
        <f>IFERROR(IF(ISNUMBER(L163),"Kohdetieto",VLOOKUP(C164,Kalusto!$C$45:$L$84,7,FALSE)),"--")</f>
        <v>--</v>
      </c>
      <c r="U164" s="211" t="str">
        <f>IFERROR(IF(ISNUMBER(L163),"Kohdetieto",VLOOKUP(C164,Kalusto!$C$45:$L$84,8,FALSE)),"--")</f>
        <v>--</v>
      </c>
      <c r="V164" s="212" t="str">
        <f>IFERROR(IF(ISNUMBER(L163),"Kohdetieto",VLOOKUP(C164,Kalusto!$C$45:$L$84,9,FALSE)),"--")</f>
        <v>--</v>
      </c>
      <c r="W164" s="212" t="str">
        <f>IFERROR(IF(ISNUMBER(L163),"Kohdetieto",VLOOKUP(C164,Kalusto!$C$45:$L$84,10,FALSE)),"--")</f>
        <v>--</v>
      </c>
      <c r="X164" s="213" t="str">
        <f>IF(ISBLANK(C162),"",C162/1000)</f>
        <v/>
      </c>
      <c r="Y164" s="211" t="str">
        <f>IF(ISNUMBER(G163),G163,"")</f>
        <v/>
      </c>
      <c r="Z164" s="214" t="str">
        <f>IF(ISNUMBER(L163),L163,K163)</f>
        <v>--</v>
      </c>
      <c r="AA164" s="43"/>
      <c r="AB164" s="220"/>
      <c r="AC164" s="43"/>
      <c r="AD164" s="43"/>
      <c r="AE164" s="43"/>
      <c r="AF164" s="43"/>
      <c r="AG164" s="43"/>
      <c r="AH164" s="43"/>
      <c r="AI164" s="43"/>
      <c r="AJ164" s="43"/>
      <c r="AK164" s="35"/>
      <c r="AL164" s="35"/>
      <c r="AM164" s="35"/>
      <c r="AN164" s="36"/>
      <c r="AO164" s="36"/>
      <c r="AP164" s="36"/>
      <c r="AQ164" s="36"/>
      <c r="AR164" s="36"/>
      <c r="AS164" s="36"/>
      <c r="AT164" s="36"/>
      <c r="AU164" s="36"/>
      <c r="AV164" s="36"/>
      <c r="AW164" s="36"/>
      <c r="AX164" s="36"/>
      <c r="AY164" s="36"/>
      <c r="AZ164" s="36"/>
      <c r="BA164" s="36"/>
      <c r="BB164" s="36"/>
      <c r="BC164" s="36"/>
      <c r="BD164" s="36"/>
      <c r="BE164" s="36"/>
    </row>
    <row r="165" spans="2:57" s="30" customFormat="1" ht="15" x14ac:dyDescent="0.2">
      <c r="B165" s="76" t="s">
        <v>457</v>
      </c>
      <c r="C165" s="156" t="s">
        <v>309</v>
      </c>
      <c r="D165" s="33"/>
      <c r="E165" s="33"/>
      <c r="F165" s="33"/>
      <c r="G165" s="33"/>
      <c r="H165" s="57"/>
      <c r="J165" s="169"/>
      <c r="K165" s="37" t="s">
        <v>297</v>
      </c>
      <c r="L165" s="37" t="s">
        <v>185</v>
      </c>
      <c r="M165" s="40"/>
      <c r="N165" s="40"/>
      <c r="O165" s="259"/>
      <c r="Q165" s="45"/>
      <c r="R165" s="43"/>
      <c r="S165" s="43"/>
      <c r="T165" s="43"/>
      <c r="U165" s="43"/>
      <c r="V165" s="215"/>
      <c r="W165" s="215"/>
      <c r="X165" s="216"/>
      <c r="Y165" s="43"/>
      <c r="Z165" s="216"/>
      <c r="AA165" s="217"/>
      <c r="AB165" s="216"/>
      <c r="AC165" s="216"/>
      <c r="AD165" s="216"/>
      <c r="AE165" s="216"/>
      <c r="AF165" s="217"/>
      <c r="AG165" s="216"/>
      <c r="AH165" s="43"/>
      <c r="AI165" s="43"/>
      <c r="AJ165" s="43"/>
      <c r="AK165" s="104"/>
      <c r="AL165" s="35"/>
      <c r="AM165" s="35"/>
      <c r="AN165" s="36"/>
      <c r="AO165" s="36"/>
      <c r="AP165" s="36"/>
      <c r="AQ165" s="36"/>
      <c r="AR165" s="36"/>
      <c r="AS165" s="36"/>
      <c r="AT165" s="36"/>
      <c r="AU165" s="36"/>
      <c r="AV165" s="36"/>
      <c r="AW165" s="36"/>
      <c r="AX165" s="36"/>
      <c r="AY165" s="36"/>
      <c r="AZ165" s="36"/>
      <c r="BA165" s="36"/>
      <c r="BB165" s="36"/>
      <c r="BC165" s="36"/>
      <c r="BD165" s="36"/>
      <c r="BE165" s="36"/>
    </row>
    <row r="166" spans="2:57" s="30" customFormat="1" ht="15" x14ac:dyDescent="0.2">
      <c r="B166" s="151" t="s">
        <v>491</v>
      </c>
      <c r="C166" s="474" t="s">
        <v>739</v>
      </c>
      <c r="D166" s="474"/>
      <c r="G166" s="152"/>
      <c r="H166" s="81" t="s">
        <v>5</v>
      </c>
      <c r="J166" s="32" t="str">
        <f>IFERROR(VLOOKUP(C166,Kalusto!$B$107:$C$110,2,FALSE),"Valitse kuljetustapa")</f>
        <v>Valitse kuljetustapa</v>
      </c>
      <c r="K166" s="92" t="str">
        <f>IFERROR(IF(ISNUMBER(L166),L166,VLOOKUP(J166,Kalusto!$C$107:$G$110,5,FALSE)),"--")</f>
        <v>--</v>
      </c>
      <c r="L166" s="39"/>
      <c r="M166" s="40" t="s">
        <v>184</v>
      </c>
      <c r="N166" s="40"/>
      <c r="O166" s="259"/>
      <c r="Q166" s="34"/>
      <c r="R166" s="213" t="str">
        <f>IF(AND(ISNUMBER(G166)*ISNUMBER(C162)),K166*G166*X164,"")</f>
        <v/>
      </c>
      <c r="S166" s="226" t="s">
        <v>160</v>
      </c>
      <c r="T166" s="43"/>
      <c r="U166" s="43"/>
      <c r="V166" s="43"/>
      <c r="W166" s="43"/>
      <c r="X166" s="43"/>
      <c r="Y166" s="43"/>
      <c r="Z166" s="43"/>
      <c r="AA166" s="43"/>
      <c r="AB166" s="220"/>
      <c r="AC166" s="43"/>
      <c r="AD166" s="43"/>
      <c r="AE166" s="43"/>
      <c r="AF166" s="43"/>
      <c r="AG166" s="43"/>
      <c r="AH166" s="43"/>
      <c r="AI166" s="43"/>
      <c r="AJ166" s="43"/>
      <c r="AK166" s="35"/>
      <c r="AL166" s="35"/>
      <c r="AM166" s="35"/>
      <c r="AN166" s="36"/>
      <c r="AO166" s="36"/>
      <c r="AP166" s="36"/>
      <c r="AQ166" s="36"/>
      <c r="AR166" s="36"/>
      <c r="AS166" s="36"/>
      <c r="AT166" s="36"/>
      <c r="AU166" s="36"/>
      <c r="AV166" s="36"/>
      <c r="AW166" s="36"/>
      <c r="AX166" s="36"/>
      <c r="AY166" s="36"/>
      <c r="AZ166" s="36"/>
      <c r="BA166" s="36"/>
      <c r="BB166" s="36"/>
      <c r="BC166" s="36"/>
      <c r="BD166" s="36"/>
      <c r="BE166" s="36"/>
    </row>
    <row r="167" spans="2:57" s="30" customFormat="1" ht="15" x14ac:dyDescent="0.2">
      <c r="B167" s="151" t="s">
        <v>491</v>
      </c>
      <c r="C167" s="474" t="s">
        <v>739</v>
      </c>
      <c r="D167" s="474"/>
      <c r="G167" s="152"/>
      <c r="H167" s="81" t="s">
        <v>5</v>
      </c>
      <c r="J167" s="32" t="str">
        <f>IFERROR(VLOOKUP(C167,Kalusto!$B$107:$C$110,2,FALSE),"Valitse kuljetustapa")</f>
        <v>Valitse kuljetustapa</v>
      </c>
      <c r="K167" s="92" t="str">
        <f>IFERROR(IF(ISNUMBER(L167),L167,VLOOKUP(J167,Kalusto!$C$107:$G$110,5,FALSE)),"--")</f>
        <v>--</v>
      </c>
      <c r="L167" s="39"/>
      <c r="M167" s="40" t="s">
        <v>184</v>
      </c>
      <c r="N167" s="40"/>
      <c r="O167" s="259"/>
      <c r="Q167" s="34"/>
      <c r="R167" s="213" t="str">
        <f>IF(AND(ISNUMBER(G167)*ISNUMBER(C162)),K167*G167*X164,"")</f>
        <v/>
      </c>
      <c r="S167" s="226" t="s">
        <v>160</v>
      </c>
      <c r="T167" s="43"/>
      <c r="U167" s="43"/>
      <c r="V167" s="43"/>
      <c r="W167" s="43"/>
      <c r="X167" s="43"/>
      <c r="Y167" s="43"/>
      <c r="Z167" s="43"/>
      <c r="AA167" s="43"/>
      <c r="AB167" s="220"/>
      <c r="AC167" s="43"/>
      <c r="AD167" s="43"/>
      <c r="AE167" s="43"/>
      <c r="AF167" s="43"/>
      <c r="AG167" s="43"/>
      <c r="AH167" s="43"/>
      <c r="AI167" s="43"/>
      <c r="AJ167" s="43"/>
      <c r="AK167" s="35"/>
      <c r="AL167" s="35"/>
      <c r="AM167" s="35"/>
      <c r="AN167" s="36"/>
      <c r="AO167" s="36"/>
      <c r="AP167" s="36"/>
      <c r="AQ167" s="36"/>
      <c r="AR167" s="36"/>
      <c r="AS167" s="36"/>
      <c r="AT167" s="36"/>
      <c r="AU167" s="36"/>
      <c r="AV167" s="36"/>
      <c r="AW167" s="36"/>
      <c r="AX167" s="36"/>
      <c r="AY167" s="36"/>
      <c r="AZ167" s="36"/>
      <c r="BA167" s="36"/>
      <c r="BB167" s="36"/>
      <c r="BC167" s="36"/>
      <c r="BD167" s="36"/>
      <c r="BE167" s="36"/>
    </row>
    <row r="168" spans="2:57" s="30" customFormat="1" ht="15" x14ac:dyDescent="0.2">
      <c r="B168" s="151" t="s">
        <v>491</v>
      </c>
      <c r="C168" s="474" t="s">
        <v>739</v>
      </c>
      <c r="D168" s="474"/>
      <c r="G168" s="152"/>
      <c r="H168" s="81" t="s">
        <v>5</v>
      </c>
      <c r="J168" s="32" t="str">
        <f>IFERROR(VLOOKUP(C168,Kalusto!$B$107:$C$110,2,FALSE),"Valitse kuljetustapa")</f>
        <v>Valitse kuljetustapa</v>
      </c>
      <c r="K168" s="92" t="str">
        <f>IFERROR(IF(ISNUMBER(L168),L168,VLOOKUP(J168,Kalusto!$C$107:$G$110,5,FALSE)),"--")</f>
        <v>--</v>
      </c>
      <c r="L168" s="39"/>
      <c r="M168" s="40" t="s">
        <v>184</v>
      </c>
      <c r="N168" s="40"/>
      <c r="O168" s="259"/>
      <c r="Q168" s="34"/>
      <c r="R168" s="213" t="str">
        <f>IF(AND(ISNUMBER(G168)*ISNUMBER(C162)),K168*G168*X164,"")</f>
        <v/>
      </c>
      <c r="S168" s="226" t="s">
        <v>160</v>
      </c>
      <c r="T168" s="43"/>
      <c r="U168" s="43"/>
      <c r="V168" s="43"/>
      <c r="W168" s="43"/>
      <c r="X168" s="43"/>
      <c r="Y168" s="43"/>
      <c r="Z168" s="43"/>
      <c r="AA168" s="43"/>
      <c r="AB168" s="220"/>
      <c r="AC168" s="43"/>
      <c r="AD168" s="43"/>
      <c r="AE168" s="43"/>
      <c r="AF168" s="43"/>
      <c r="AG168" s="43"/>
      <c r="AH168" s="43"/>
      <c r="AI168" s="43"/>
      <c r="AJ168" s="43"/>
      <c r="AK168" s="35"/>
      <c r="AL168" s="35"/>
      <c r="AM168" s="35"/>
      <c r="AN168" s="36"/>
      <c r="AO168" s="36"/>
      <c r="AP168" s="36"/>
      <c r="AQ168" s="36"/>
      <c r="AR168" s="36"/>
      <c r="AS168" s="36"/>
      <c r="AT168" s="36"/>
      <c r="AU168" s="36"/>
      <c r="AV168" s="36"/>
      <c r="AW168" s="36"/>
      <c r="AX168" s="36"/>
      <c r="AY168" s="36"/>
      <c r="AZ168" s="36"/>
      <c r="BA168" s="36"/>
      <c r="BB168" s="36"/>
      <c r="BC168" s="36"/>
      <c r="BD168" s="36"/>
      <c r="BE168" s="36"/>
    </row>
    <row r="169" spans="2:57" s="30" customFormat="1" ht="15.75" x14ac:dyDescent="0.2">
      <c r="B169" s="8" t="str">
        <f>B138</f>
        <v>Kemikaali-, tuote- tai materiaalilaji 3</v>
      </c>
      <c r="C169" s="33"/>
      <c r="D169" s="81"/>
      <c r="G169" s="70"/>
      <c r="H169" s="81"/>
      <c r="J169" s="32"/>
      <c r="K169" s="33"/>
      <c r="L169" s="33"/>
      <c r="M169" s="81"/>
      <c r="N169" s="81"/>
      <c r="O169" s="96"/>
      <c r="Q169" s="34"/>
      <c r="R169" s="43" t="s">
        <v>318</v>
      </c>
      <c r="S169" s="43"/>
      <c r="T169" s="43"/>
      <c r="U169" s="43"/>
      <c r="V169" s="43"/>
      <c r="W169" s="43"/>
      <c r="X169" s="43"/>
      <c r="Y169" s="43"/>
      <c r="Z169" s="43"/>
      <c r="AA169" s="43"/>
      <c r="AB169" s="220"/>
      <c r="AC169" s="43"/>
      <c r="AD169" s="43"/>
      <c r="AE169" s="43"/>
      <c r="AF169" s="43"/>
      <c r="AG169" s="43"/>
      <c r="AH169" s="43"/>
      <c r="AI169" s="43"/>
      <c r="AJ169" s="43"/>
      <c r="AK169" s="35"/>
      <c r="AL169" s="35"/>
      <c r="AM169" s="35"/>
      <c r="AN169" s="36"/>
      <c r="AO169" s="36"/>
      <c r="AP169" s="36"/>
      <c r="AQ169" s="36"/>
      <c r="AR169" s="36"/>
      <c r="AS169" s="36"/>
      <c r="AT169" s="36"/>
      <c r="AU169" s="36"/>
      <c r="AV169" s="36"/>
      <c r="AW169" s="36"/>
      <c r="AX169" s="36"/>
      <c r="AY169" s="36"/>
      <c r="AZ169" s="36"/>
      <c r="BA169" s="36"/>
      <c r="BB169" s="36"/>
      <c r="BC169" s="36"/>
      <c r="BD169" s="36"/>
      <c r="BE169" s="36"/>
    </row>
    <row r="170" spans="2:57" s="30" customFormat="1" ht="15" x14ac:dyDescent="0.2">
      <c r="B170" s="52" t="s">
        <v>340</v>
      </c>
      <c r="C170" s="152"/>
      <c r="D170" s="81" t="s">
        <v>252</v>
      </c>
      <c r="G170" s="33"/>
      <c r="H170" s="81"/>
      <c r="J170" s="32"/>
      <c r="K170" s="37" t="s">
        <v>297</v>
      </c>
      <c r="L170" s="37" t="s">
        <v>185</v>
      </c>
      <c r="M170" s="81"/>
      <c r="N170" s="81"/>
      <c r="O170" s="96"/>
      <c r="Q170" s="34"/>
      <c r="R170" s="213" t="str">
        <f>IF(AND(ISNUMBER(G171),ISNUMBER(C170)),SUM(R171,R174:R176),"")</f>
        <v/>
      </c>
      <c r="S170" s="226" t="s">
        <v>160</v>
      </c>
      <c r="T170" s="43"/>
      <c r="U170" s="43"/>
      <c r="V170" s="43"/>
      <c r="W170" s="43"/>
      <c r="X170" s="43"/>
      <c r="Y170" s="43"/>
      <c r="Z170" s="43"/>
      <c r="AA170" s="43"/>
      <c r="AB170" s="220"/>
      <c r="AC170" s="43"/>
      <c r="AD170" s="43"/>
      <c r="AE170" s="43"/>
      <c r="AF170" s="43"/>
      <c r="AG170" s="43"/>
      <c r="AH170" s="43"/>
      <c r="AI170" s="43"/>
      <c r="AJ170" s="43"/>
      <c r="AK170" s="35"/>
      <c r="AL170" s="35"/>
      <c r="AM170" s="35"/>
      <c r="AN170" s="36"/>
      <c r="AO170" s="36"/>
      <c r="AP170" s="36"/>
      <c r="AQ170" s="36"/>
      <c r="AR170" s="36"/>
      <c r="AS170" s="36"/>
      <c r="AT170" s="36"/>
      <c r="AU170" s="36"/>
      <c r="AV170" s="36"/>
      <c r="AW170" s="36"/>
      <c r="AX170" s="36"/>
      <c r="AY170" s="36"/>
      <c r="AZ170" s="36"/>
      <c r="BA170" s="36"/>
      <c r="BB170" s="36"/>
      <c r="BC170" s="36"/>
      <c r="BD170" s="36"/>
      <c r="BE170" s="36"/>
    </row>
    <row r="171" spans="2:57" s="30" customFormat="1" ht="30" x14ac:dyDescent="0.2">
      <c r="B171" s="151" t="s">
        <v>660</v>
      </c>
      <c r="C171" s="475" t="s">
        <v>253</v>
      </c>
      <c r="D171" s="476"/>
      <c r="G171" s="152"/>
      <c r="H171" s="81" t="s">
        <v>5</v>
      </c>
      <c r="J171" s="169" t="s">
        <v>395</v>
      </c>
      <c r="K171" s="92" t="str">
        <f>IFERROR(IF(ISNUMBER(L171),L171,(VLOOKUP(C172,Kalusto!$C$45:$G$84,5,FALSE)*(VLOOKUP(C173,Muut!$D$40:$E$43,2,FALSE)))),"--")</f>
        <v>--</v>
      </c>
      <c r="L171" s="39"/>
      <c r="M171" s="40" t="s">
        <v>184</v>
      </c>
      <c r="N171" s="40"/>
      <c r="O171" s="259"/>
      <c r="Q171" s="34"/>
      <c r="R171" s="213" t="str">
        <f>IF(ISNUMBER(Y172*X172*K171),Y172*X172*K171,"")</f>
        <v/>
      </c>
      <c r="S171" s="226" t="s">
        <v>160</v>
      </c>
      <c r="T171" s="43" t="s">
        <v>400</v>
      </c>
      <c r="U171" s="43" t="s">
        <v>349</v>
      </c>
      <c r="V171" s="43" t="s">
        <v>397</v>
      </c>
      <c r="W171" s="43" t="s">
        <v>398</v>
      </c>
      <c r="X171" s="43" t="s">
        <v>401</v>
      </c>
      <c r="Y171" s="43" t="s">
        <v>403</v>
      </c>
      <c r="Z171" s="43" t="s">
        <v>339</v>
      </c>
      <c r="AA171" s="43"/>
      <c r="AB171" s="220"/>
      <c r="AC171" s="43"/>
      <c r="AD171" s="43"/>
      <c r="AE171" s="43"/>
      <c r="AF171" s="43"/>
      <c r="AG171" s="43"/>
      <c r="AH171" s="43"/>
      <c r="AI171" s="43"/>
      <c r="AJ171" s="43"/>
      <c r="AK171" s="35"/>
      <c r="AL171" s="35"/>
      <c r="AM171" s="35"/>
      <c r="AN171" s="36"/>
      <c r="AO171" s="36"/>
      <c r="AP171" s="36"/>
      <c r="AQ171" s="36"/>
      <c r="AR171" s="36"/>
      <c r="AS171" s="36"/>
      <c r="AT171" s="36"/>
      <c r="AU171" s="36"/>
      <c r="AV171" s="36"/>
      <c r="AW171" s="36"/>
      <c r="AX171" s="36"/>
      <c r="AY171" s="36"/>
      <c r="AZ171" s="36"/>
      <c r="BA171" s="36"/>
      <c r="BB171" s="36"/>
      <c r="BC171" s="36"/>
      <c r="BD171" s="36"/>
      <c r="BE171" s="36"/>
    </row>
    <row r="172" spans="2:57" s="30" customFormat="1" ht="15" x14ac:dyDescent="0.2">
      <c r="B172" s="76" t="s">
        <v>342</v>
      </c>
      <c r="C172" s="471" t="s">
        <v>298</v>
      </c>
      <c r="D172" s="472"/>
      <c r="E172" s="472"/>
      <c r="F172" s="472"/>
      <c r="G172" s="473"/>
      <c r="H172" s="165"/>
      <c r="J172" s="32"/>
      <c r="K172" s="37"/>
      <c r="L172" s="37"/>
      <c r="M172" s="40"/>
      <c r="N172" s="40"/>
      <c r="O172" s="259"/>
      <c r="Q172" s="45"/>
      <c r="R172" s="220"/>
      <c r="S172" s="43"/>
      <c r="T172" s="211" t="str">
        <f>IFERROR(IF(ISNUMBER(L171),"Kohdetieto",VLOOKUP(C172,Kalusto!$C$45:$L$84,7,FALSE)),"--")</f>
        <v>--</v>
      </c>
      <c r="U172" s="211" t="str">
        <f>IFERROR(IF(ISNUMBER(L171),"Kohdetieto",VLOOKUP(C172,Kalusto!$C$45:$L$84,8,FALSE)),"--")</f>
        <v>--</v>
      </c>
      <c r="V172" s="212" t="str">
        <f>IFERROR(IF(ISNUMBER(L171),"Kohdetieto",VLOOKUP(C172,Kalusto!$C$45:$L$84,9,FALSE)),"--")</f>
        <v>--</v>
      </c>
      <c r="W172" s="212" t="str">
        <f>IFERROR(IF(ISNUMBER(L171),"Kohdetieto",VLOOKUP(C172,Kalusto!$C$45:$L$84,10,FALSE)),"--")</f>
        <v>--</v>
      </c>
      <c r="X172" s="213" t="str">
        <f>IF(ISBLANK(C170),"",C170/1000)</f>
        <v/>
      </c>
      <c r="Y172" s="211" t="str">
        <f>IF(ISNUMBER(G171),G171,"")</f>
        <v/>
      </c>
      <c r="Z172" s="214" t="str">
        <f>IF(ISNUMBER(L171),L171,K171)</f>
        <v>--</v>
      </c>
      <c r="AA172" s="43"/>
      <c r="AB172" s="220"/>
      <c r="AC172" s="43"/>
      <c r="AD172" s="43"/>
      <c r="AE172" s="43"/>
      <c r="AF172" s="43"/>
      <c r="AG172" s="43"/>
      <c r="AH172" s="43"/>
      <c r="AI172" s="43"/>
      <c r="AJ172" s="43"/>
      <c r="AK172" s="35"/>
      <c r="AL172" s="35"/>
      <c r="AM172" s="35"/>
      <c r="AN172" s="36"/>
      <c r="AO172" s="36"/>
      <c r="AP172" s="36"/>
      <c r="AQ172" s="36"/>
      <c r="AR172" s="36"/>
      <c r="AS172" s="36"/>
      <c r="AT172" s="36"/>
      <c r="AU172" s="36"/>
      <c r="AV172" s="36"/>
      <c r="AW172" s="36"/>
      <c r="AX172" s="36"/>
      <c r="AY172" s="36"/>
      <c r="AZ172" s="36"/>
      <c r="BA172" s="36"/>
      <c r="BB172" s="36"/>
      <c r="BC172" s="36"/>
      <c r="BD172" s="36"/>
      <c r="BE172" s="36"/>
    </row>
    <row r="173" spans="2:57" s="30" customFormat="1" ht="15" x14ac:dyDescent="0.2">
      <c r="B173" s="76" t="s">
        <v>457</v>
      </c>
      <c r="C173" s="156" t="s">
        <v>309</v>
      </c>
      <c r="D173" s="33"/>
      <c r="E173" s="33"/>
      <c r="F173" s="33"/>
      <c r="G173" s="33"/>
      <c r="H173" s="57"/>
      <c r="J173" s="169"/>
      <c r="K173" s="37" t="s">
        <v>297</v>
      </c>
      <c r="L173" s="37" t="s">
        <v>185</v>
      </c>
      <c r="M173" s="40"/>
      <c r="N173" s="40"/>
      <c r="O173" s="259"/>
      <c r="Q173" s="45"/>
      <c r="R173" s="43"/>
      <c r="S173" s="43"/>
      <c r="T173" s="43"/>
      <c r="U173" s="43"/>
      <c r="V173" s="215"/>
      <c r="W173" s="215"/>
      <c r="X173" s="216"/>
      <c r="Y173" s="43"/>
      <c r="Z173" s="216"/>
      <c r="AA173" s="217"/>
      <c r="AB173" s="216"/>
      <c r="AC173" s="216"/>
      <c r="AD173" s="216"/>
      <c r="AE173" s="216"/>
      <c r="AF173" s="217"/>
      <c r="AG173" s="216"/>
      <c r="AH173" s="43"/>
      <c r="AI173" s="43"/>
      <c r="AJ173" s="43"/>
      <c r="AK173" s="104"/>
      <c r="AL173" s="35"/>
      <c r="AM173" s="35"/>
      <c r="AN173" s="36"/>
      <c r="AO173" s="36"/>
      <c r="AP173" s="36"/>
      <c r="AQ173" s="36"/>
      <c r="AR173" s="36"/>
      <c r="AS173" s="36"/>
      <c r="AT173" s="36"/>
      <c r="AU173" s="36"/>
      <c r="AV173" s="36"/>
      <c r="AW173" s="36"/>
      <c r="AX173" s="36"/>
      <c r="AY173" s="36"/>
      <c r="AZ173" s="36"/>
      <c r="BA173" s="36"/>
      <c r="BB173" s="36"/>
      <c r="BC173" s="36"/>
      <c r="BD173" s="36"/>
      <c r="BE173" s="36"/>
    </row>
    <row r="174" spans="2:57" s="30" customFormat="1" ht="15" x14ac:dyDescent="0.2">
      <c r="B174" s="151" t="s">
        <v>491</v>
      </c>
      <c r="C174" s="474" t="s">
        <v>739</v>
      </c>
      <c r="D174" s="474"/>
      <c r="G174" s="152"/>
      <c r="H174" s="81" t="s">
        <v>5</v>
      </c>
      <c r="J174" s="32" t="str">
        <f>IFERROR(VLOOKUP(C174,Kalusto!$B$107:$C$110,2,FALSE),"Valitse kuljetustapa")</f>
        <v>Valitse kuljetustapa</v>
      </c>
      <c r="K174" s="92" t="str">
        <f>IFERROR(IF(ISNUMBER(L174),L174,VLOOKUP(J174,Kalusto!$C$107:$G$110,5,FALSE)),"--")</f>
        <v>--</v>
      </c>
      <c r="L174" s="39"/>
      <c r="M174" s="40" t="s">
        <v>184</v>
      </c>
      <c r="N174" s="40"/>
      <c r="O174" s="259"/>
      <c r="Q174" s="34"/>
      <c r="R174" s="213" t="str">
        <f>IF(AND(ISNUMBER(G174)*ISNUMBER(C170)),K174*G174*X172,"")</f>
        <v/>
      </c>
      <c r="S174" s="226" t="s">
        <v>160</v>
      </c>
      <c r="T174" s="43"/>
      <c r="U174" s="43"/>
      <c r="V174" s="43"/>
      <c r="W174" s="43"/>
      <c r="X174" s="43"/>
      <c r="Y174" s="43"/>
      <c r="Z174" s="43"/>
      <c r="AA174" s="43"/>
      <c r="AB174" s="220"/>
      <c r="AC174" s="43"/>
      <c r="AD174" s="43"/>
      <c r="AE174" s="43"/>
      <c r="AF174" s="43"/>
      <c r="AG174" s="43"/>
      <c r="AH174" s="43"/>
      <c r="AI174" s="43"/>
      <c r="AJ174" s="43"/>
      <c r="AK174" s="35"/>
      <c r="AL174" s="35"/>
      <c r="AM174" s="35"/>
      <c r="AN174" s="36"/>
      <c r="AO174" s="36"/>
      <c r="AP174" s="36"/>
      <c r="AQ174" s="36"/>
      <c r="AR174" s="36"/>
      <c r="AS174" s="36"/>
      <c r="AT174" s="36"/>
      <c r="AU174" s="36"/>
      <c r="AV174" s="36"/>
      <c r="AW174" s="36"/>
      <c r="AX174" s="36"/>
      <c r="AY174" s="36"/>
      <c r="AZ174" s="36"/>
      <c r="BA174" s="36"/>
      <c r="BB174" s="36"/>
      <c r="BC174" s="36"/>
      <c r="BD174" s="36"/>
      <c r="BE174" s="36"/>
    </row>
    <row r="175" spans="2:57" s="30" customFormat="1" ht="15" x14ac:dyDescent="0.2">
      <c r="B175" s="151" t="s">
        <v>491</v>
      </c>
      <c r="C175" s="474" t="s">
        <v>739</v>
      </c>
      <c r="D175" s="474"/>
      <c r="G175" s="152"/>
      <c r="H175" s="81" t="s">
        <v>5</v>
      </c>
      <c r="J175" s="32" t="str">
        <f>IFERROR(VLOOKUP(C175,Kalusto!$B$107:$C$110,2,FALSE),"Valitse kuljetustapa")</f>
        <v>Valitse kuljetustapa</v>
      </c>
      <c r="K175" s="92" t="str">
        <f>IFERROR(IF(ISNUMBER(L175),L175,VLOOKUP(J175,Kalusto!$C$107:$G$110,5,FALSE)),"--")</f>
        <v>--</v>
      </c>
      <c r="L175" s="39"/>
      <c r="M175" s="40" t="s">
        <v>184</v>
      </c>
      <c r="N175" s="40"/>
      <c r="O175" s="259"/>
      <c r="Q175" s="34"/>
      <c r="R175" s="213" t="str">
        <f>IF(AND(ISNUMBER(G175)*ISNUMBER(C170)),K175*G175*X172,"")</f>
        <v/>
      </c>
      <c r="S175" s="226" t="s">
        <v>160</v>
      </c>
      <c r="T175" s="43"/>
      <c r="U175" s="43"/>
      <c r="V175" s="43"/>
      <c r="W175" s="43"/>
      <c r="X175" s="43"/>
      <c r="Y175" s="43"/>
      <c r="Z175" s="43"/>
      <c r="AA175" s="43"/>
      <c r="AB175" s="220"/>
      <c r="AC175" s="43"/>
      <c r="AD175" s="43"/>
      <c r="AE175" s="43"/>
      <c r="AF175" s="43"/>
      <c r="AG175" s="43"/>
      <c r="AH175" s="43"/>
      <c r="AI175" s="43"/>
      <c r="AJ175" s="43"/>
      <c r="AK175" s="35"/>
      <c r="AL175" s="35"/>
      <c r="AM175" s="35"/>
      <c r="AN175" s="36"/>
      <c r="AO175" s="36"/>
      <c r="AP175" s="36"/>
      <c r="AQ175" s="36"/>
      <c r="AR175" s="36"/>
      <c r="AS175" s="36"/>
      <c r="AT175" s="36"/>
      <c r="AU175" s="36"/>
      <c r="AV175" s="36"/>
      <c r="AW175" s="36"/>
      <c r="AX175" s="36"/>
      <c r="AY175" s="36"/>
      <c r="AZ175" s="36"/>
      <c r="BA175" s="36"/>
      <c r="BB175" s="36"/>
      <c r="BC175" s="36"/>
      <c r="BD175" s="36"/>
      <c r="BE175" s="36"/>
    </row>
    <row r="176" spans="2:57" s="30" customFormat="1" ht="15" x14ac:dyDescent="0.2">
      <c r="B176" s="151" t="s">
        <v>491</v>
      </c>
      <c r="C176" s="474" t="s">
        <v>739</v>
      </c>
      <c r="D176" s="474"/>
      <c r="G176" s="152"/>
      <c r="H176" s="81" t="s">
        <v>5</v>
      </c>
      <c r="J176" s="32" t="str">
        <f>IFERROR(VLOOKUP(C176,Kalusto!$B$107:$C$110,2,FALSE),"Valitse kuljetustapa")</f>
        <v>Valitse kuljetustapa</v>
      </c>
      <c r="K176" s="92" t="str">
        <f>IFERROR(IF(ISNUMBER(L176),L176,VLOOKUP(J176,Kalusto!$C$107:$G$110,5,FALSE)),"--")</f>
        <v>--</v>
      </c>
      <c r="L176" s="39"/>
      <c r="M176" s="40" t="s">
        <v>184</v>
      </c>
      <c r="N176" s="40"/>
      <c r="O176" s="259"/>
      <c r="Q176" s="34"/>
      <c r="R176" s="213" t="str">
        <f>IF(AND(ISNUMBER(G176)*ISNUMBER(C170)),K176*G176*X172,"")</f>
        <v/>
      </c>
      <c r="S176" s="226" t="s">
        <v>160</v>
      </c>
      <c r="T176" s="43"/>
      <c r="U176" s="43"/>
      <c r="V176" s="43"/>
      <c r="W176" s="43"/>
      <c r="X176" s="43"/>
      <c r="Y176" s="43"/>
      <c r="Z176" s="43"/>
      <c r="AA176" s="43"/>
      <c r="AB176" s="220"/>
      <c r="AC176" s="43"/>
      <c r="AD176" s="43"/>
      <c r="AE176" s="43"/>
      <c r="AF176" s="43"/>
      <c r="AG176" s="43"/>
      <c r="AH176" s="43"/>
      <c r="AI176" s="43"/>
      <c r="AJ176" s="43"/>
      <c r="AK176" s="35"/>
      <c r="AL176" s="35"/>
      <c r="AM176" s="35"/>
      <c r="AN176" s="36"/>
      <c r="AO176" s="36"/>
      <c r="AP176" s="36"/>
      <c r="AQ176" s="36"/>
      <c r="AR176" s="36"/>
      <c r="AS176" s="36"/>
      <c r="AT176" s="36"/>
      <c r="AU176" s="36"/>
      <c r="AV176" s="36"/>
      <c r="AW176" s="36"/>
      <c r="AX176" s="36"/>
      <c r="AY176" s="36"/>
      <c r="AZ176" s="36"/>
      <c r="BA176" s="36"/>
      <c r="BB176" s="36"/>
      <c r="BC176" s="36"/>
      <c r="BD176" s="36"/>
      <c r="BE176" s="36"/>
    </row>
    <row r="177" spans="2:57" s="30" customFormat="1" ht="15.75" x14ac:dyDescent="0.2">
      <c r="B177" s="8" t="str">
        <f>B141</f>
        <v>Kemikaali-, tuote- tai materiaalilaji 4</v>
      </c>
      <c r="C177" s="33"/>
      <c r="D177" s="81"/>
      <c r="G177" s="70"/>
      <c r="H177" s="81"/>
      <c r="J177" s="32"/>
      <c r="K177" s="33"/>
      <c r="L177" s="33"/>
      <c r="M177" s="81"/>
      <c r="N177" s="81"/>
      <c r="O177" s="96"/>
      <c r="Q177" s="34"/>
      <c r="R177" s="43" t="s">
        <v>318</v>
      </c>
      <c r="S177" s="43"/>
      <c r="T177" s="43"/>
      <c r="U177" s="43"/>
      <c r="V177" s="43"/>
      <c r="W177" s="43"/>
      <c r="X177" s="43"/>
      <c r="Y177" s="43"/>
      <c r="Z177" s="43"/>
      <c r="AA177" s="43"/>
      <c r="AB177" s="220"/>
      <c r="AC177" s="43"/>
      <c r="AD177" s="43"/>
      <c r="AE177" s="43"/>
      <c r="AF177" s="43"/>
      <c r="AG177" s="43"/>
      <c r="AH177" s="43"/>
      <c r="AI177" s="43"/>
      <c r="AJ177" s="43"/>
      <c r="AK177" s="35"/>
      <c r="AL177" s="35"/>
      <c r="AM177" s="35"/>
      <c r="AN177" s="36"/>
      <c r="AO177" s="36"/>
      <c r="AP177" s="36"/>
      <c r="AQ177" s="36"/>
      <c r="AR177" s="36"/>
      <c r="AS177" s="36"/>
      <c r="AT177" s="36"/>
      <c r="AU177" s="36"/>
      <c r="AV177" s="36"/>
      <c r="AW177" s="36"/>
      <c r="AX177" s="36"/>
      <c r="AY177" s="36"/>
      <c r="AZ177" s="36"/>
      <c r="BA177" s="36"/>
      <c r="BB177" s="36"/>
      <c r="BC177" s="36"/>
      <c r="BD177" s="36"/>
      <c r="BE177" s="36"/>
    </row>
    <row r="178" spans="2:57" s="30" customFormat="1" ht="15" x14ac:dyDescent="0.2">
      <c r="B178" s="52" t="s">
        <v>340</v>
      </c>
      <c r="C178" s="152"/>
      <c r="D178" s="81" t="s">
        <v>252</v>
      </c>
      <c r="G178" s="33"/>
      <c r="H178" s="81"/>
      <c r="J178" s="32"/>
      <c r="K178" s="37" t="s">
        <v>297</v>
      </c>
      <c r="L178" s="37" t="s">
        <v>185</v>
      </c>
      <c r="M178" s="81"/>
      <c r="N178" s="81"/>
      <c r="O178" s="96"/>
      <c r="Q178" s="34"/>
      <c r="R178" s="213" t="str">
        <f>IF(AND(ISNUMBER(G179),ISNUMBER(C178)),SUM(R179,R182:R184),"")</f>
        <v/>
      </c>
      <c r="S178" s="226" t="s">
        <v>160</v>
      </c>
      <c r="T178" s="43"/>
      <c r="U178" s="43"/>
      <c r="V178" s="43"/>
      <c r="W178" s="43"/>
      <c r="X178" s="43"/>
      <c r="Y178" s="43"/>
      <c r="Z178" s="43"/>
      <c r="AA178" s="43"/>
      <c r="AB178" s="220"/>
      <c r="AC178" s="43"/>
      <c r="AD178" s="43"/>
      <c r="AE178" s="43"/>
      <c r="AF178" s="43"/>
      <c r="AG178" s="43"/>
      <c r="AH178" s="43"/>
      <c r="AI178" s="43"/>
      <c r="AJ178" s="43"/>
      <c r="AK178" s="35"/>
      <c r="AL178" s="35"/>
      <c r="AM178" s="35"/>
      <c r="AN178" s="36"/>
      <c r="AO178" s="36"/>
      <c r="AP178" s="36"/>
      <c r="AQ178" s="36"/>
      <c r="AR178" s="36"/>
      <c r="AS178" s="36"/>
      <c r="AT178" s="36"/>
      <c r="AU178" s="36"/>
      <c r="AV178" s="36"/>
      <c r="AW178" s="36"/>
      <c r="AX178" s="36"/>
      <c r="AY178" s="36"/>
      <c r="AZ178" s="36"/>
      <c r="BA178" s="36"/>
      <c r="BB178" s="36"/>
      <c r="BC178" s="36"/>
      <c r="BD178" s="36"/>
      <c r="BE178" s="36"/>
    </row>
    <row r="179" spans="2:57" s="30" customFormat="1" ht="30" x14ac:dyDescent="0.2">
      <c r="B179" s="151" t="s">
        <v>660</v>
      </c>
      <c r="C179" s="475" t="s">
        <v>253</v>
      </c>
      <c r="D179" s="476"/>
      <c r="G179" s="152"/>
      <c r="H179" s="81" t="s">
        <v>5</v>
      </c>
      <c r="J179" s="169" t="s">
        <v>395</v>
      </c>
      <c r="K179" s="92" t="str">
        <f>IFERROR(IF(ISNUMBER(L179),L179,(VLOOKUP(C180,Kalusto!$C$45:$G$84,5,FALSE)*(VLOOKUP(C181,Muut!$D$40:$E$43,2,FALSE)))),"--")</f>
        <v>--</v>
      </c>
      <c r="L179" s="39"/>
      <c r="M179" s="40" t="s">
        <v>184</v>
      </c>
      <c r="N179" s="40"/>
      <c r="O179" s="259"/>
      <c r="Q179" s="34"/>
      <c r="R179" s="213" t="str">
        <f>IF(ISNUMBER(Y180*X180*K179),Y180*X180*K179,"")</f>
        <v/>
      </c>
      <c r="S179" s="226" t="s">
        <v>160</v>
      </c>
      <c r="T179" s="43" t="s">
        <v>400</v>
      </c>
      <c r="U179" s="43" t="s">
        <v>349</v>
      </c>
      <c r="V179" s="43" t="s">
        <v>397</v>
      </c>
      <c r="W179" s="43" t="s">
        <v>398</v>
      </c>
      <c r="X179" s="43" t="s">
        <v>401</v>
      </c>
      <c r="Y179" s="43" t="s">
        <v>403</v>
      </c>
      <c r="Z179" s="43" t="s">
        <v>339</v>
      </c>
      <c r="AA179" s="43"/>
      <c r="AB179" s="220"/>
      <c r="AC179" s="43"/>
      <c r="AD179" s="43"/>
      <c r="AE179" s="43"/>
      <c r="AF179" s="43"/>
      <c r="AG179" s="43"/>
      <c r="AH179" s="43"/>
      <c r="AI179" s="43"/>
      <c r="AJ179" s="43"/>
      <c r="AK179" s="35"/>
      <c r="AL179" s="35"/>
      <c r="AM179" s="35"/>
      <c r="AN179" s="36"/>
      <c r="AO179" s="36"/>
      <c r="AP179" s="36"/>
      <c r="AQ179" s="36"/>
      <c r="AR179" s="36"/>
      <c r="AS179" s="36"/>
      <c r="AT179" s="36"/>
      <c r="AU179" s="36"/>
      <c r="AV179" s="36"/>
      <c r="AW179" s="36"/>
      <c r="AX179" s="36"/>
      <c r="AY179" s="36"/>
      <c r="AZ179" s="36"/>
      <c r="BA179" s="36"/>
      <c r="BB179" s="36"/>
      <c r="BC179" s="36"/>
      <c r="BD179" s="36"/>
      <c r="BE179" s="36"/>
    </row>
    <row r="180" spans="2:57" s="30" customFormat="1" ht="15" x14ac:dyDescent="0.2">
      <c r="B180" s="76" t="s">
        <v>342</v>
      </c>
      <c r="C180" s="471" t="s">
        <v>298</v>
      </c>
      <c r="D180" s="472"/>
      <c r="E180" s="472"/>
      <c r="F180" s="472"/>
      <c r="G180" s="473"/>
      <c r="J180" s="32"/>
      <c r="K180" s="37"/>
      <c r="L180" s="37"/>
      <c r="M180" s="40"/>
      <c r="N180" s="40"/>
      <c r="O180" s="259"/>
      <c r="Q180" s="45"/>
      <c r="R180" s="220"/>
      <c r="S180" s="43"/>
      <c r="T180" s="211" t="str">
        <f>IFERROR(IF(ISNUMBER(L179),"Kohdetieto",VLOOKUP(C180,Kalusto!$C$45:$L$84,7,FALSE)),"--")</f>
        <v>--</v>
      </c>
      <c r="U180" s="211" t="str">
        <f>IFERROR(IF(ISNUMBER(L179),"Kohdetieto",VLOOKUP(C180,Kalusto!$C$45:$L$84,8,FALSE)),"--")</f>
        <v>--</v>
      </c>
      <c r="V180" s="212" t="str">
        <f>IFERROR(IF(ISNUMBER(L179),"Kohdetieto",VLOOKUP(C180,Kalusto!$C$45:$L$84,9,FALSE)),"--")</f>
        <v>--</v>
      </c>
      <c r="W180" s="212" t="str">
        <f>IFERROR(IF(ISNUMBER(L179),"Kohdetieto",VLOOKUP(C180,Kalusto!$C$45:$L$84,10,FALSE)),"--")</f>
        <v>--</v>
      </c>
      <c r="X180" s="213" t="str">
        <f>IF(ISBLANK(C178),"",C178/1000)</f>
        <v/>
      </c>
      <c r="Y180" s="211" t="str">
        <f>IF(ISNUMBER(G179),G179,"")</f>
        <v/>
      </c>
      <c r="Z180" s="214" t="str">
        <f>IF(ISNUMBER(L179),L179,K179)</f>
        <v>--</v>
      </c>
      <c r="AA180" s="43"/>
      <c r="AB180" s="220"/>
      <c r="AC180" s="43"/>
      <c r="AD180" s="43"/>
      <c r="AE180" s="43"/>
      <c r="AF180" s="43"/>
      <c r="AG180" s="43"/>
      <c r="AH180" s="43"/>
      <c r="AI180" s="43"/>
      <c r="AJ180" s="43"/>
      <c r="AK180" s="35"/>
      <c r="AL180" s="35"/>
      <c r="AM180" s="35"/>
      <c r="AN180" s="36"/>
      <c r="AO180" s="36"/>
      <c r="AP180" s="36"/>
      <c r="AQ180" s="36"/>
      <c r="AR180" s="36"/>
      <c r="AS180" s="36"/>
      <c r="AT180" s="36"/>
      <c r="AU180" s="36"/>
      <c r="AV180" s="36"/>
      <c r="AW180" s="36"/>
      <c r="AX180" s="36"/>
      <c r="AY180" s="36"/>
      <c r="AZ180" s="36"/>
      <c r="BA180" s="36"/>
      <c r="BB180" s="36"/>
      <c r="BC180" s="36"/>
      <c r="BD180" s="36"/>
      <c r="BE180" s="36"/>
    </row>
    <row r="181" spans="2:57" s="30" customFormat="1" ht="15" x14ac:dyDescent="0.2">
      <c r="B181" s="76" t="s">
        <v>457</v>
      </c>
      <c r="C181" s="156" t="s">
        <v>309</v>
      </c>
      <c r="D181" s="33"/>
      <c r="E181" s="33"/>
      <c r="F181" s="33"/>
      <c r="G181" s="33"/>
      <c r="H181" s="57"/>
      <c r="J181" s="169"/>
      <c r="K181" s="37" t="s">
        <v>297</v>
      </c>
      <c r="L181" s="37" t="s">
        <v>185</v>
      </c>
      <c r="M181" s="40"/>
      <c r="N181" s="40"/>
      <c r="O181" s="259"/>
      <c r="Q181" s="45"/>
      <c r="R181" s="43"/>
      <c r="S181" s="43"/>
      <c r="T181" s="43"/>
      <c r="U181" s="43"/>
      <c r="V181" s="215"/>
      <c r="W181" s="215"/>
      <c r="X181" s="216"/>
      <c r="Y181" s="43"/>
      <c r="Z181" s="216"/>
      <c r="AA181" s="217"/>
      <c r="AB181" s="216"/>
      <c r="AC181" s="216"/>
      <c r="AD181" s="216"/>
      <c r="AE181" s="216"/>
      <c r="AF181" s="217"/>
      <c r="AG181" s="216"/>
      <c r="AH181" s="43"/>
      <c r="AI181" s="43"/>
      <c r="AJ181" s="43"/>
      <c r="AK181" s="104"/>
      <c r="AL181" s="35"/>
      <c r="AM181" s="35"/>
      <c r="AN181" s="36"/>
      <c r="AO181" s="36"/>
      <c r="AP181" s="36"/>
      <c r="AQ181" s="36"/>
      <c r="AR181" s="36"/>
      <c r="AS181" s="36"/>
      <c r="AT181" s="36"/>
      <c r="AU181" s="36"/>
      <c r="AV181" s="36"/>
      <c r="AW181" s="36"/>
      <c r="AX181" s="36"/>
      <c r="AY181" s="36"/>
      <c r="AZ181" s="36"/>
      <c r="BA181" s="36"/>
      <c r="BB181" s="36"/>
      <c r="BC181" s="36"/>
      <c r="BD181" s="36"/>
      <c r="BE181" s="36"/>
    </row>
    <row r="182" spans="2:57" s="30" customFormat="1" ht="15" x14ac:dyDescent="0.2">
      <c r="B182" s="151" t="s">
        <v>492</v>
      </c>
      <c r="C182" s="474" t="s">
        <v>739</v>
      </c>
      <c r="D182" s="474"/>
      <c r="G182" s="152"/>
      <c r="H182" s="81" t="s">
        <v>5</v>
      </c>
      <c r="J182" s="32" t="str">
        <f>IFERROR(VLOOKUP(C182,Kalusto!$B$107:$C$110,2,FALSE),"Valitse kuljetustapa")</f>
        <v>Valitse kuljetustapa</v>
      </c>
      <c r="K182" s="92" t="str">
        <f>IFERROR(IF(ISNUMBER(L182),L182,VLOOKUP(J182,Kalusto!$C$107:$G$110,5,FALSE)),"--")</f>
        <v>--</v>
      </c>
      <c r="L182" s="39"/>
      <c r="M182" s="40" t="s">
        <v>184</v>
      </c>
      <c r="N182" s="40"/>
      <c r="O182" s="259"/>
      <c r="Q182" s="34"/>
      <c r="R182" s="213" t="str">
        <f>IF(AND(ISNUMBER(G182)*ISNUMBER(C178)),K182*G182*X180,"")</f>
        <v/>
      </c>
      <c r="S182" s="226" t="s">
        <v>160</v>
      </c>
      <c r="T182" s="43"/>
      <c r="U182" s="43"/>
      <c r="V182" s="43"/>
      <c r="W182" s="43"/>
      <c r="X182" s="43"/>
      <c r="Y182" s="43"/>
      <c r="Z182" s="43"/>
      <c r="AA182" s="43"/>
      <c r="AB182" s="220"/>
      <c r="AC182" s="43"/>
      <c r="AD182" s="43"/>
      <c r="AE182" s="43"/>
      <c r="AF182" s="43"/>
      <c r="AG182" s="43"/>
      <c r="AH182" s="43"/>
      <c r="AI182" s="43"/>
      <c r="AJ182" s="43"/>
      <c r="AK182" s="35"/>
      <c r="AL182" s="35"/>
      <c r="AM182" s="35"/>
      <c r="AN182" s="36"/>
      <c r="AO182" s="36"/>
      <c r="AP182" s="36"/>
      <c r="AQ182" s="36"/>
      <c r="AR182" s="36"/>
      <c r="AS182" s="36"/>
      <c r="AT182" s="36"/>
      <c r="AU182" s="36"/>
      <c r="AV182" s="36"/>
      <c r="AW182" s="36"/>
      <c r="AX182" s="36"/>
      <c r="AY182" s="36"/>
      <c r="AZ182" s="36"/>
      <c r="BA182" s="36"/>
      <c r="BB182" s="36"/>
      <c r="BC182" s="36"/>
      <c r="BD182" s="36"/>
      <c r="BE182" s="36"/>
    </row>
    <row r="183" spans="2:57" s="30" customFormat="1" ht="15" x14ac:dyDescent="0.2">
      <c r="B183" s="151" t="s">
        <v>492</v>
      </c>
      <c r="C183" s="474" t="s">
        <v>739</v>
      </c>
      <c r="D183" s="474"/>
      <c r="G183" s="152"/>
      <c r="H183" s="81" t="s">
        <v>5</v>
      </c>
      <c r="J183" s="32" t="str">
        <f>IFERROR(VLOOKUP(C183,Kalusto!$B$107:$C$110,2,FALSE),"Valitse kuljetustapa")</f>
        <v>Valitse kuljetustapa</v>
      </c>
      <c r="K183" s="92" t="str">
        <f>IFERROR(IF(ISNUMBER(L183),L183,VLOOKUP(J183,Kalusto!$C$107:$G$110,5,FALSE)),"--")</f>
        <v>--</v>
      </c>
      <c r="L183" s="39"/>
      <c r="M183" s="40" t="s">
        <v>184</v>
      </c>
      <c r="N183" s="40"/>
      <c r="O183" s="259"/>
      <c r="Q183" s="34"/>
      <c r="R183" s="213" t="str">
        <f>IF(AND(ISNUMBER(G183)*ISNUMBER(C178)),K183*G183*X180,"")</f>
        <v/>
      </c>
      <c r="S183" s="226" t="s">
        <v>160</v>
      </c>
      <c r="T183" s="43"/>
      <c r="U183" s="43"/>
      <c r="V183" s="43"/>
      <c r="W183" s="43"/>
      <c r="X183" s="43"/>
      <c r="Y183" s="43"/>
      <c r="Z183" s="43"/>
      <c r="AA183" s="43"/>
      <c r="AB183" s="220"/>
      <c r="AC183" s="43"/>
      <c r="AD183" s="43"/>
      <c r="AE183" s="43"/>
      <c r="AF183" s="43"/>
      <c r="AG183" s="43"/>
      <c r="AH183" s="43"/>
      <c r="AI183" s="43"/>
      <c r="AJ183" s="43"/>
      <c r="AK183" s="35"/>
      <c r="AL183" s="35"/>
      <c r="AM183" s="35"/>
      <c r="AN183" s="36"/>
      <c r="AO183" s="36"/>
      <c r="AP183" s="36"/>
      <c r="AQ183" s="36"/>
      <c r="AR183" s="36"/>
      <c r="AS183" s="36"/>
      <c r="AT183" s="36"/>
      <c r="AU183" s="36"/>
      <c r="AV183" s="36"/>
      <c r="AW183" s="36"/>
      <c r="AX183" s="36"/>
      <c r="AY183" s="36"/>
      <c r="AZ183" s="36"/>
      <c r="BA183" s="36"/>
      <c r="BB183" s="36"/>
      <c r="BC183" s="36"/>
      <c r="BD183" s="36"/>
      <c r="BE183" s="36"/>
    </row>
    <row r="184" spans="2:57" s="30" customFormat="1" ht="15" x14ac:dyDescent="0.2">
      <c r="B184" s="151" t="s">
        <v>492</v>
      </c>
      <c r="C184" s="474" t="s">
        <v>739</v>
      </c>
      <c r="D184" s="474"/>
      <c r="G184" s="152"/>
      <c r="H184" s="81" t="s">
        <v>5</v>
      </c>
      <c r="J184" s="32" t="str">
        <f>IFERROR(VLOOKUP(C184,Kalusto!$B$107:$C$110,2,FALSE),"Valitse kuljetustapa")</f>
        <v>Valitse kuljetustapa</v>
      </c>
      <c r="K184" s="92" t="str">
        <f>IFERROR(IF(ISNUMBER(L184),L184,VLOOKUP(J184,Kalusto!$C$107:$G$110,5,FALSE)),"--")</f>
        <v>--</v>
      </c>
      <c r="L184" s="39"/>
      <c r="M184" s="40" t="s">
        <v>184</v>
      </c>
      <c r="N184" s="40"/>
      <c r="O184" s="259"/>
      <c r="Q184" s="34"/>
      <c r="R184" s="213" t="str">
        <f>IF(AND(ISNUMBER(G184)*ISNUMBER(C178)),K184*G184*X180,"")</f>
        <v/>
      </c>
      <c r="S184" s="226" t="s">
        <v>160</v>
      </c>
      <c r="T184" s="43"/>
      <c r="U184" s="43"/>
      <c r="V184" s="43"/>
      <c r="W184" s="43"/>
      <c r="X184" s="43"/>
      <c r="Y184" s="43"/>
      <c r="Z184" s="43"/>
      <c r="AA184" s="43"/>
      <c r="AB184" s="220"/>
      <c r="AC184" s="43"/>
      <c r="AD184" s="43"/>
      <c r="AE184" s="43"/>
      <c r="AF184" s="43"/>
      <c r="AG184" s="43"/>
      <c r="AH184" s="43"/>
      <c r="AI184" s="43"/>
      <c r="AJ184" s="43"/>
      <c r="AK184" s="35"/>
      <c r="AL184" s="35"/>
      <c r="AM184" s="35"/>
      <c r="AN184" s="36"/>
      <c r="AO184" s="36"/>
      <c r="AP184" s="36"/>
      <c r="AQ184" s="36"/>
      <c r="AR184" s="36"/>
      <c r="AS184" s="36"/>
      <c r="AT184" s="36"/>
      <c r="AU184" s="36"/>
      <c r="AV184" s="36"/>
      <c r="AW184" s="36"/>
      <c r="AX184" s="36"/>
      <c r="AY184" s="36"/>
      <c r="AZ184" s="36"/>
      <c r="BA184" s="36"/>
      <c r="BB184" s="36"/>
      <c r="BC184" s="36"/>
      <c r="BD184" s="36"/>
      <c r="BE184" s="36"/>
    </row>
    <row r="185" spans="2:57" s="30" customFormat="1" ht="15.75" x14ac:dyDescent="0.2">
      <c r="B185" s="8" t="str">
        <f>B144</f>
        <v>Kemikaali-, tuote- tai materiaalilaji 5</v>
      </c>
      <c r="C185" s="33"/>
      <c r="D185" s="81"/>
      <c r="G185" s="70"/>
      <c r="H185" s="81"/>
      <c r="J185" s="32"/>
      <c r="K185" s="33"/>
      <c r="L185" s="33"/>
      <c r="M185" s="81"/>
      <c r="N185" s="81"/>
      <c r="O185" s="96"/>
      <c r="Q185" s="34"/>
      <c r="R185" s="43" t="s">
        <v>318</v>
      </c>
      <c r="S185" s="43"/>
      <c r="T185" s="43"/>
      <c r="U185" s="43"/>
      <c r="V185" s="43"/>
      <c r="W185" s="43"/>
      <c r="X185" s="43"/>
      <c r="Y185" s="43"/>
      <c r="Z185" s="43"/>
      <c r="AA185" s="43"/>
      <c r="AB185" s="220"/>
      <c r="AC185" s="43"/>
      <c r="AD185" s="43"/>
      <c r="AE185" s="43"/>
      <c r="AF185" s="43"/>
      <c r="AG185" s="43"/>
      <c r="AH185" s="43"/>
      <c r="AI185" s="43"/>
      <c r="AJ185" s="43"/>
      <c r="AK185" s="35"/>
      <c r="AL185" s="35"/>
      <c r="AM185" s="35"/>
      <c r="AN185" s="36"/>
      <c r="AO185" s="36"/>
      <c r="AP185" s="36"/>
      <c r="AQ185" s="36"/>
      <c r="AR185" s="36"/>
      <c r="AS185" s="36"/>
      <c r="AT185" s="36"/>
      <c r="AU185" s="36"/>
      <c r="AV185" s="36"/>
      <c r="AW185" s="36"/>
      <c r="AX185" s="36"/>
      <c r="AY185" s="36"/>
      <c r="AZ185" s="36"/>
      <c r="BA185" s="36"/>
      <c r="BB185" s="36"/>
      <c r="BC185" s="36"/>
      <c r="BD185" s="36"/>
      <c r="BE185" s="36"/>
    </row>
    <row r="186" spans="2:57" s="30" customFormat="1" ht="15" x14ac:dyDescent="0.2">
      <c r="B186" s="52" t="s">
        <v>256</v>
      </c>
      <c r="C186" s="152"/>
      <c r="D186" s="81" t="s">
        <v>252</v>
      </c>
      <c r="G186" s="33"/>
      <c r="H186" s="81"/>
      <c r="J186" s="32"/>
      <c r="K186" s="37" t="s">
        <v>297</v>
      </c>
      <c r="L186" s="37" t="s">
        <v>185</v>
      </c>
      <c r="M186" s="81"/>
      <c r="N186" s="81"/>
      <c r="O186" s="96"/>
      <c r="Q186" s="34"/>
      <c r="R186" s="213" t="str">
        <f>IF(AND(ISNUMBER(G187),ISNUMBER(C186)),SUM(R187,R190:R192),"")</f>
        <v/>
      </c>
      <c r="S186" s="226" t="s">
        <v>160</v>
      </c>
      <c r="T186" s="43"/>
      <c r="U186" s="43"/>
      <c r="V186" s="43"/>
      <c r="W186" s="43"/>
      <c r="X186" s="43"/>
      <c r="Y186" s="43"/>
      <c r="Z186" s="43"/>
      <c r="AA186" s="43"/>
      <c r="AB186" s="220"/>
      <c r="AC186" s="43"/>
      <c r="AD186" s="43"/>
      <c r="AE186" s="43"/>
      <c r="AF186" s="43"/>
      <c r="AG186" s="43"/>
      <c r="AH186" s="43"/>
      <c r="AI186" s="43"/>
      <c r="AJ186" s="43"/>
      <c r="AK186" s="35"/>
      <c r="AL186" s="35"/>
      <c r="AM186" s="35"/>
      <c r="AN186" s="36"/>
      <c r="AO186" s="36"/>
      <c r="AP186" s="36"/>
      <c r="AQ186" s="36"/>
      <c r="AR186" s="36"/>
      <c r="AS186" s="36"/>
      <c r="AT186" s="36"/>
      <c r="AU186" s="36"/>
      <c r="AV186" s="36"/>
      <c r="AW186" s="36"/>
      <c r="AX186" s="36"/>
      <c r="AY186" s="36"/>
      <c r="AZ186" s="36"/>
      <c r="BA186" s="36"/>
      <c r="BB186" s="36"/>
      <c r="BC186" s="36"/>
      <c r="BD186" s="36"/>
      <c r="BE186" s="36"/>
    </row>
    <row r="187" spans="2:57" s="30" customFormat="1" ht="30" x14ac:dyDescent="0.2">
      <c r="B187" s="151" t="s">
        <v>660</v>
      </c>
      <c r="C187" s="475" t="s">
        <v>253</v>
      </c>
      <c r="D187" s="476"/>
      <c r="G187" s="152"/>
      <c r="H187" s="81" t="s">
        <v>5</v>
      </c>
      <c r="J187" s="169" t="s">
        <v>395</v>
      </c>
      <c r="K187" s="92" t="str">
        <f>IFERROR(IF(ISNUMBER(L187),L187,(VLOOKUP(C188,Kalusto!$C$45:$G$84,5,FALSE)*(VLOOKUP(C189,Muut!$D$40:$E$43,2,FALSE)))),"--")</f>
        <v>--</v>
      </c>
      <c r="L187" s="39"/>
      <c r="M187" s="40" t="s">
        <v>184</v>
      </c>
      <c r="N187" s="40"/>
      <c r="O187" s="259"/>
      <c r="Q187" s="34"/>
      <c r="R187" s="213" t="str">
        <f>IF(ISNUMBER(Y188*X188*K187),Y188*X188*K187,"")</f>
        <v/>
      </c>
      <c r="S187" s="226" t="s">
        <v>160</v>
      </c>
      <c r="T187" s="43" t="s">
        <v>400</v>
      </c>
      <c r="U187" s="43" t="s">
        <v>349</v>
      </c>
      <c r="V187" s="43" t="s">
        <v>397</v>
      </c>
      <c r="W187" s="43" t="s">
        <v>398</v>
      </c>
      <c r="X187" s="43" t="s">
        <v>401</v>
      </c>
      <c r="Y187" s="43" t="s">
        <v>403</v>
      </c>
      <c r="Z187" s="43" t="s">
        <v>339</v>
      </c>
      <c r="AA187" s="43"/>
      <c r="AB187" s="220"/>
      <c r="AC187" s="43"/>
      <c r="AD187" s="43"/>
      <c r="AE187" s="43"/>
      <c r="AF187" s="43"/>
      <c r="AG187" s="43"/>
      <c r="AH187" s="43"/>
      <c r="AI187" s="43"/>
      <c r="AJ187" s="43"/>
      <c r="AK187" s="35"/>
      <c r="AL187" s="35"/>
      <c r="AM187" s="35"/>
      <c r="AN187" s="36"/>
      <c r="AO187" s="36"/>
      <c r="AP187" s="36"/>
      <c r="AQ187" s="36"/>
      <c r="AR187" s="36"/>
      <c r="AS187" s="36"/>
      <c r="AT187" s="36"/>
      <c r="AU187" s="36"/>
      <c r="AV187" s="36"/>
      <c r="AW187" s="36"/>
      <c r="AX187" s="36"/>
      <c r="AY187" s="36"/>
      <c r="AZ187" s="36"/>
      <c r="BA187" s="36"/>
      <c r="BB187" s="36"/>
      <c r="BC187" s="36"/>
      <c r="BD187" s="36"/>
      <c r="BE187" s="36"/>
    </row>
    <row r="188" spans="2:57" s="30" customFormat="1" ht="15" x14ac:dyDescent="0.2">
      <c r="B188" s="76" t="s">
        <v>342</v>
      </c>
      <c r="C188" s="471" t="s">
        <v>298</v>
      </c>
      <c r="D188" s="472"/>
      <c r="E188" s="472"/>
      <c r="F188" s="472"/>
      <c r="G188" s="473"/>
      <c r="J188" s="32"/>
      <c r="K188" s="37"/>
      <c r="L188" s="37"/>
      <c r="M188" s="40"/>
      <c r="N188" s="40"/>
      <c r="O188" s="259"/>
      <c r="Q188" s="45"/>
      <c r="R188" s="220"/>
      <c r="S188" s="43"/>
      <c r="T188" s="211" t="str">
        <f>IFERROR(IF(ISNUMBER(L187),"Kohdetieto",VLOOKUP(C188,Kalusto!$C$45:$L$84,7,FALSE)),"--")</f>
        <v>--</v>
      </c>
      <c r="U188" s="211" t="str">
        <f>IFERROR(IF(ISNUMBER(L187),"Kohdetieto",VLOOKUP(C188,Kalusto!$C$45:$L$84,8,FALSE)),"--")</f>
        <v>--</v>
      </c>
      <c r="V188" s="212" t="str">
        <f>IFERROR(IF(ISNUMBER(L187),"Kohdetieto",VLOOKUP(C188,Kalusto!$C$45:$L$84,9,FALSE)),"--")</f>
        <v>--</v>
      </c>
      <c r="W188" s="212" t="str">
        <f>IFERROR(IF(ISNUMBER(L187),"Kohdetieto",VLOOKUP(C188,Kalusto!$C$45:$L$84,10,FALSE)),"--")</f>
        <v>--</v>
      </c>
      <c r="X188" s="213" t="str">
        <f>IF(ISBLANK(C186),"",C186/1000)</f>
        <v/>
      </c>
      <c r="Y188" s="211" t="str">
        <f>IF(ISNUMBER(G187),G187,"")</f>
        <v/>
      </c>
      <c r="Z188" s="214" t="str">
        <f>IF(ISNUMBER(L187),L187,K187)</f>
        <v>--</v>
      </c>
      <c r="AA188" s="43"/>
      <c r="AB188" s="220"/>
      <c r="AC188" s="43"/>
      <c r="AD188" s="43"/>
      <c r="AE188" s="43"/>
      <c r="AF188" s="43"/>
      <c r="AG188" s="43"/>
      <c r="AH188" s="43"/>
      <c r="AI188" s="43"/>
      <c r="AJ188" s="43"/>
      <c r="AK188" s="35"/>
      <c r="AL188" s="35"/>
      <c r="AM188" s="35"/>
      <c r="AN188" s="36"/>
      <c r="AO188" s="36"/>
      <c r="AP188" s="36"/>
      <c r="AQ188" s="36"/>
      <c r="AR188" s="36"/>
      <c r="AS188" s="36"/>
      <c r="AT188" s="36"/>
      <c r="AU188" s="36"/>
      <c r="AV188" s="36"/>
      <c r="AW188" s="36"/>
      <c r="AX188" s="36"/>
      <c r="AY188" s="36"/>
      <c r="AZ188" s="36"/>
      <c r="BA188" s="36"/>
      <c r="BB188" s="36"/>
      <c r="BC188" s="36"/>
      <c r="BD188" s="36"/>
      <c r="BE188" s="36"/>
    </row>
    <row r="189" spans="2:57" s="30" customFormat="1" ht="15" x14ac:dyDescent="0.2">
      <c r="B189" s="76" t="s">
        <v>457</v>
      </c>
      <c r="C189" s="156" t="s">
        <v>309</v>
      </c>
      <c r="D189" s="33"/>
      <c r="E189" s="33"/>
      <c r="F189" s="33"/>
      <c r="G189" s="33"/>
      <c r="H189" s="57"/>
      <c r="J189" s="169"/>
      <c r="K189" s="37" t="s">
        <v>297</v>
      </c>
      <c r="L189" s="37" t="s">
        <v>185</v>
      </c>
      <c r="M189" s="40"/>
      <c r="N189" s="40"/>
      <c r="O189" s="259"/>
      <c r="Q189" s="45"/>
      <c r="R189" s="43"/>
      <c r="S189" s="43"/>
      <c r="T189" s="43"/>
      <c r="U189" s="43"/>
      <c r="V189" s="215"/>
      <c r="W189" s="215"/>
      <c r="X189" s="216"/>
      <c r="Y189" s="43"/>
      <c r="Z189" s="216"/>
      <c r="AA189" s="217"/>
      <c r="AB189" s="216"/>
      <c r="AC189" s="216"/>
      <c r="AD189" s="216"/>
      <c r="AE189" s="216"/>
      <c r="AF189" s="217"/>
      <c r="AG189" s="216"/>
      <c r="AH189" s="43"/>
      <c r="AI189" s="43"/>
      <c r="AJ189" s="43"/>
      <c r="AK189" s="104"/>
      <c r="AL189" s="35"/>
      <c r="AM189" s="35"/>
      <c r="AN189" s="36"/>
      <c r="AO189" s="36"/>
      <c r="AP189" s="36"/>
      <c r="AQ189" s="36"/>
      <c r="AR189" s="36"/>
      <c r="AS189" s="36"/>
      <c r="AT189" s="36"/>
      <c r="AU189" s="36"/>
      <c r="AV189" s="36"/>
      <c r="AW189" s="36"/>
      <c r="AX189" s="36"/>
      <c r="AY189" s="36"/>
      <c r="AZ189" s="36"/>
      <c r="BA189" s="36"/>
      <c r="BB189" s="36"/>
      <c r="BC189" s="36"/>
      <c r="BD189" s="36"/>
      <c r="BE189" s="36"/>
    </row>
    <row r="190" spans="2:57" s="30" customFormat="1" ht="15" x14ac:dyDescent="0.2">
      <c r="B190" s="151" t="s">
        <v>492</v>
      </c>
      <c r="C190" s="474" t="s">
        <v>739</v>
      </c>
      <c r="D190" s="474"/>
      <c r="G190" s="152"/>
      <c r="H190" s="81" t="s">
        <v>5</v>
      </c>
      <c r="J190" s="32" t="str">
        <f>IFERROR(VLOOKUP(C190,Kalusto!$B$107:$C$110,2,FALSE),"Valitse kuljetustapa")</f>
        <v>Valitse kuljetustapa</v>
      </c>
      <c r="K190" s="92" t="str">
        <f>IFERROR(IF(ISNUMBER(L190),L190,VLOOKUP(J190,Kalusto!$C$107:$G$110,5,FALSE)),"--")</f>
        <v>--</v>
      </c>
      <c r="L190" s="39"/>
      <c r="M190" s="40" t="s">
        <v>184</v>
      </c>
      <c r="N190" s="40"/>
      <c r="O190" s="259"/>
      <c r="Q190" s="34"/>
      <c r="R190" s="213" t="str">
        <f>IF(AND(ISNUMBER(G190)*ISNUMBER(C186)),K190*G190*X188,"")</f>
        <v/>
      </c>
      <c r="S190" s="226" t="s">
        <v>160</v>
      </c>
      <c r="T190" s="220"/>
      <c r="U190" s="43"/>
      <c r="V190" s="43"/>
      <c r="W190" s="43"/>
      <c r="X190" s="43"/>
      <c r="Y190" s="43"/>
      <c r="Z190" s="43"/>
      <c r="AA190" s="43"/>
      <c r="AB190" s="43"/>
      <c r="AC190" s="43"/>
      <c r="AD190" s="43"/>
      <c r="AE190" s="43"/>
      <c r="AF190" s="43"/>
      <c r="AG190" s="43"/>
      <c r="AH190" s="43"/>
      <c r="AI190" s="43"/>
      <c r="AJ190" s="43"/>
      <c r="AK190" s="35"/>
      <c r="AL190" s="35"/>
      <c r="AM190" s="35"/>
      <c r="AN190" s="36"/>
      <c r="AO190" s="36"/>
      <c r="AP190" s="36"/>
      <c r="AQ190" s="36"/>
      <c r="AR190" s="36"/>
      <c r="AS190" s="36"/>
      <c r="AT190" s="36"/>
      <c r="AU190" s="36"/>
      <c r="AV190" s="36"/>
      <c r="AW190" s="36"/>
      <c r="AX190" s="36"/>
      <c r="AY190" s="36"/>
      <c r="AZ190" s="36"/>
      <c r="BA190" s="36"/>
      <c r="BB190" s="36"/>
      <c r="BC190" s="36"/>
      <c r="BD190" s="36"/>
      <c r="BE190" s="36"/>
    </row>
    <row r="191" spans="2:57" s="30" customFormat="1" ht="15" x14ac:dyDescent="0.2">
      <c r="B191" s="151" t="s">
        <v>492</v>
      </c>
      <c r="C191" s="474" t="s">
        <v>739</v>
      </c>
      <c r="D191" s="474"/>
      <c r="G191" s="152"/>
      <c r="H191" s="81" t="s">
        <v>5</v>
      </c>
      <c r="J191" s="32" t="str">
        <f>IFERROR(VLOOKUP(C191,Kalusto!$B$107:$C$110,2,FALSE),"Valitse kuljetustapa")</f>
        <v>Valitse kuljetustapa</v>
      </c>
      <c r="K191" s="92" t="str">
        <f>IFERROR(IF(ISNUMBER(L191),L191,VLOOKUP(J191,Kalusto!$C$107:$G$110,5,FALSE)),"--")</f>
        <v>--</v>
      </c>
      <c r="L191" s="39"/>
      <c r="M191" s="40" t="s">
        <v>184</v>
      </c>
      <c r="N191" s="40"/>
      <c r="O191" s="259"/>
      <c r="Q191" s="34"/>
      <c r="R191" s="213" t="str">
        <f>IF(AND(ISNUMBER(G191)*ISNUMBER(C186)),K191*G191*X188,"")</f>
        <v/>
      </c>
      <c r="S191" s="226" t="s">
        <v>160</v>
      </c>
      <c r="T191" s="220"/>
      <c r="U191" s="43"/>
      <c r="V191" s="43"/>
      <c r="W191" s="43"/>
      <c r="X191" s="43"/>
      <c r="Y191" s="43"/>
      <c r="Z191" s="43"/>
      <c r="AA191" s="43"/>
      <c r="AB191" s="43"/>
      <c r="AC191" s="43"/>
      <c r="AD191" s="43"/>
      <c r="AE191" s="43"/>
      <c r="AF191" s="43"/>
      <c r="AG191" s="43"/>
      <c r="AH191" s="43"/>
      <c r="AI191" s="43"/>
      <c r="AJ191" s="43"/>
      <c r="AK191" s="35"/>
      <c r="AL191" s="35"/>
      <c r="AM191" s="35"/>
      <c r="AN191" s="36"/>
      <c r="AO191" s="36"/>
      <c r="AP191" s="36"/>
      <c r="AQ191" s="36"/>
      <c r="AR191" s="36"/>
      <c r="AS191" s="36"/>
      <c r="AT191" s="36"/>
      <c r="AU191" s="36"/>
      <c r="AV191" s="36"/>
      <c r="AW191" s="36"/>
      <c r="AX191" s="36"/>
      <c r="AY191" s="36"/>
      <c r="AZ191" s="36"/>
      <c r="BA191" s="36"/>
      <c r="BB191" s="36"/>
      <c r="BC191" s="36"/>
      <c r="BD191" s="36"/>
      <c r="BE191" s="36"/>
    </row>
    <row r="192" spans="2:57" s="30" customFormat="1" ht="15" x14ac:dyDescent="0.2">
      <c r="B192" s="151" t="s">
        <v>492</v>
      </c>
      <c r="C192" s="474" t="s">
        <v>739</v>
      </c>
      <c r="D192" s="474"/>
      <c r="G192" s="152"/>
      <c r="H192" s="81" t="s">
        <v>5</v>
      </c>
      <c r="J192" s="32" t="str">
        <f>IFERROR(VLOOKUP(C192,Kalusto!$B$107:$C$110,2,FALSE),"Valitse kuljetustapa")</f>
        <v>Valitse kuljetustapa</v>
      </c>
      <c r="K192" s="92" t="str">
        <f>IFERROR(IF(ISNUMBER(L192),L192,VLOOKUP(J192,Kalusto!$C$107:$G$110,5,FALSE)),"--")</f>
        <v>--</v>
      </c>
      <c r="L192" s="39"/>
      <c r="M192" s="40" t="s">
        <v>184</v>
      </c>
      <c r="N192" s="40"/>
      <c r="O192" s="259"/>
      <c r="Q192" s="34"/>
      <c r="R192" s="213" t="str">
        <f>IF(AND(ISNUMBER(G192)*ISNUMBER(C186)),K192*G192*X188,"")</f>
        <v/>
      </c>
      <c r="S192" s="226" t="s">
        <v>160</v>
      </c>
      <c r="T192" s="220"/>
      <c r="U192" s="43"/>
      <c r="V192" s="43"/>
      <c r="W192" s="43"/>
      <c r="X192" s="43"/>
      <c r="Y192" s="43"/>
      <c r="Z192" s="43"/>
      <c r="AA192" s="43"/>
      <c r="AB192" s="43"/>
      <c r="AC192" s="43"/>
      <c r="AD192" s="43"/>
      <c r="AE192" s="43"/>
      <c r="AF192" s="43"/>
      <c r="AG192" s="43"/>
      <c r="AH192" s="43"/>
      <c r="AI192" s="43"/>
      <c r="AJ192" s="43"/>
      <c r="AK192" s="35"/>
      <c r="AL192" s="35"/>
      <c r="AM192" s="35"/>
      <c r="AN192" s="36"/>
      <c r="AO192" s="36"/>
      <c r="AP192" s="36"/>
      <c r="AQ192" s="36"/>
      <c r="AR192" s="36"/>
      <c r="AS192" s="36"/>
      <c r="AT192" s="36"/>
      <c r="AU192" s="36"/>
      <c r="AV192" s="36"/>
      <c r="AW192" s="36"/>
      <c r="AX192" s="36"/>
      <c r="AY192" s="36"/>
      <c r="AZ192" s="36"/>
      <c r="BA192" s="36"/>
      <c r="BB192" s="36"/>
      <c r="BC192" s="36"/>
      <c r="BD192" s="36"/>
      <c r="BE192" s="36"/>
    </row>
    <row r="193" spans="2:59" s="30" customFormat="1" ht="15" x14ac:dyDescent="0.2">
      <c r="C193" s="33"/>
      <c r="D193" s="81"/>
      <c r="G193" s="33"/>
      <c r="H193" s="81"/>
      <c r="J193" s="32"/>
      <c r="K193" s="33"/>
      <c r="L193" s="33"/>
      <c r="M193" s="81"/>
      <c r="N193" s="81"/>
      <c r="O193" s="81"/>
      <c r="Q193" s="34"/>
      <c r="R193" s="102"/>
      <c r="S193" s="43"/>
      <c r="T193" s="43"/>
      <c r="U193" s="43"/>
      <c r="V193" s="43"/>
      <c r="W193" s="43"/>
      <c r="X193" s="43"/>
      <c r="Y193" s="43"/>
      <c r="Z193" s="43"/>
      <c r="AA193" s="43"/>
      <c r="AB193" s="43"/>
      <c r="AC193" s="43"/>
      <c r="AD193" s="43"/>
      <c r="AE193" s="43"/>
      <c r="AF193" s="43"/>
      <c r="AG193" s="43"/>
      <c r="AH193" s="43"/>
      <c r="AI193" s="43"/>
      <c r="AJ193" s="43"/>
      <c r="AK193" s="35"/>
      <c r="AL193" s="35"/>
      <c r="AM193" s="35"/>
      <c r="AN193" s="36"/>
      <c r="AO193" s="36"/>
      <c r="AP193" s="36"/>
      <c r="AQ193" s="36"/>
      <c r="AR193" s="36"/>
      <c r="AS193" s="36"/>
      <c r="AT193" s="36"/>
      <c r="AU193" s="36"/>
      <c r="AV193" s="36"/>
      <c r="AW193" s="36"/>
      <c r="AX193" s="36"/>
      <c r="AY193" s="36"/>
      <c r="AZ193" s="36"/>
      <c r="BA193" s="36"/>
      <c r="BB193" s="36"/>
      <c r="BC193" s="36"/>
      <c r="BD193" s="36"/>
      <c r="BE193" s="36"/>
    </row>
    <row r="194" spans="2:59" s="289" customFormat="1" ht="18" x14ac:dyDescent="0.2">
      <c r="B194" s="286" t="s">
        <v>291</v>
      </c>
      <c r="C194" s="287"/>
      <c r="D194" s="288"/>
      <c r="G194" s="287"/>
      <c r="H194" s="288"/>
      <c r="K194" s="287"/>
      <c r="L194" s="287"/>
      <c r="M194" s="288"/>
      <c r="N194" s="288"/>
      <c r="O194" s="291"/>
      <c r="P194" s="311"/>
      <c r="Q194" s="295"/>
      <c r="S194" s="294"/>
      <c r="T194" s="294"/>
      <c r="U194" s="294"/>
      <c r="V194" s="294"/>
      <c r="W194" s="294"/>
      <c r="X194" s="294"/>
      <c r="Y194" s="294"/>
      <c r="Z194" s="294"/>
      <c r="AA194" s="294"/>
      <c r="AB194" s="294"/>
      <c r="AC194" s="294"/>
      <c r="AD194" s="294"/>
      <c r="AE194" s="294"/>
      <c r="AF194" s="294"/>
      <c r="AG194" s="294"/>
      <c r="AH194" s="294"/>
      <c r="AI194" s="294"/>
      <c r="AJ194" s="294"/>
      <c r="AK194" s="294"/>
      <c r="AL194" s="294"/>
      <c r="AM194" s="294"/>
      <c r="AN194" s="295"/>
      <c r="AO194" s="295"/>
      <c r="AP194" s="295"/>
      <c r="AQ194" s="295"/>
      <c r="AR194" s="295"/>
      <c r="AS194" s="295"/>
      <c r="AT194" s="295"/>
      <c r="AU194" s="295"/>
      <c r="AV194" s="295"/>
      <c r="AW194" s="295"/>
      <c r="AX194" s="295"/>
      <c r="AY194" s="295"/>
      <c r="AZ194" s="295"/>
      <c r="BA194" s="295"/>
      <c r="BB194" s="295"/>
      <c r="BC194" s="295"/>
      <c r="BD194" s="295"/>
      <c r="BE194" s="295"/>
    </row>
    <row r="195" spans="2:59" s="30" customFormat="1" ht="15.75" x14ac:dyDescent="0.2">
      <c r="B195" s="8"/>
      <c r="C195" s="33"/>
      <c r="D195" s="81"/>
      <c r="G195" s="33"/>
      <c r="H195" s="81"/>
      <c r="J195" s="32"/>
      <c r="M195" s="81"/>
      <c r="N195" s="81"/>
      <c r="O195" s="249" t="s">
        <v>584</v>
      </c>
      <c r="Q195" s="34"/>
      <c r="R195" s="43" t="s">
        <v>318</v>
      </c>
      <c r="S195" s="35"/>
      <c r="T195" s="43"/>
      <c r="U195" s="43"/>
      <c r="V195" s="43"/>
      <c r="W195" s="43"/>
      <c r="X195" s="43"/>
      <c r="Y195" s="43"/>
      <c r="Z195" s="43"/>
      <c r="AA195" s="43"/>
      <c r="AB195" s="43"/>
      <c r="AC195" s="43"/>
      <c r="AD195" s="43"/>
      <c r="AE195" s="35"/>
      <c r="AF195" s="35"/>
      <c r="AG195" s="35"/>
      <c r="AH195" s="35"/>
      <c r="AI195" s="35"/>
      <c r="AJ195" s="35"/>
      <c r="AK195" s="35"/>
      <c r="AL195" s="35"/>
      <c r="AM195" s="35"/>
      <c r="AN195" s="36"/>
      <c r="AO195" s="36"/>
      <c r="AP195" s="36"/>
      <c r="AQ195" s="36"/>
      <c r="AR195" s="36"/>
      <c r="AS195" s="36"/>
      <c r="AT195" s="36"/>
      <c r="AU195" s="36"/>
      <c r="AV195" s="36"/>
      <c r="AW195" s="36"/>
      <c r="AX195" s="36"/>
      <c r="AY195" s="36"/>
      <c r="AZ195" s="36"/>
      <c r="BA195" s="36"/>
      <c r="BB195" s="36"/>
      <c r="BC195" s="36"/>
      <c r="BD195" s="36"/>
      <c r="BE195" s="36"/>
    </row>
    <row r="196" spans="2:59" s="30" customFormat="1" ht="15" customHeight="1" x14ac:dyDescent="0.2">
      <c r="B196" s="30" t="s">
        <v>753</v>
      </c>
      <c r="J196" s="32"/>
      <c r="K196" s="37"/>
      <c r="L196" s="37"/>
      <c r="M196" s="81"/>
      <c r="N196" s="81"/>
      <c r="O196" s="249"/>
      <c r="Q196" s="34"/>
      <c r="R196" s="35"/>
      <c r="S196" s="35"/>
      <c r="T196" s="35"/>
      <c r="U196" s="35"/>
      <c r="V196" s="35"/>
      <c r="W196" s="35"/>
      <c r="X196" s="35"/>
      <c r="Y196" s="35"/>
      <c r="Z196" s="35"/>
      <c r="AA196" s="35"/>
      <c r="AB196" s="35"/>
      <c r="AC196" s="35"/>
      <c r="AD196" s="35"/>
      <c r="AE196" s="35"/>
      <c r="AF196" s="35"/>
      <c r="AG196" s="35"/>
      <c r="AH196" s="35"/>
      <c r="AI196" s="35"/>
      <c r="AJ196" s="35"/>
      <c r="AK196" s="36"/>
      <c r="AL196" s="36"/>
      <c r="AM196" s="36"/>
      <c r="AN196" s="36"/>
      <c r="AO196" s="36"/>
      <c r="AP196" s="36"/>
      <c r="AQ196" s="36"/>
      <c r="AR196" s="36"/>
      <c r="AS196" s="36"/>
      <c r="AT196" s="36"/>
      <c r="AU196" s="36"/>
      <c r="AV196" s="36"/>
      <c r="AW196" s="36"/>
      <c r="AX196" s="36"/>
      <c r="AY196" s="36"/>
      <c r="AZ196" s="36"/>
      <c r="BA196" s="36"/>
      <c r="BB196" s="36"/>
    </row>
    <row r="197" spans="2:59" s="30" customFormat="1" ht="15.75" x14ac:dyDescent="0.2">
      <c r="B197" s="8"/>
      <c r="C197" s="33"/>
      <c r="D197" s="81"/>
      <c r="G197" s="33"/>
      <c r="H197" s="81"/>
      <c r="J197" s="32"/>
      <c r="K197" s="37" t="s">
        <v>297</v>
      </c>
      <c r="L197" s="37" t="s">
        <v>185</v>
      </c>
      <c r="M197" s="83"/>
      <c r="N197" s="83"/>
      <c r="O197" s="249" t="s">
        <v>584</v>
      </c>
      <c r="Q197" s="129"/>
      <c r="R197" s="43" t="s">
        <v>318</v>
      </c>
      <c r="S197" s="43"/>
      <c r="T197" s="170"/>
      <c r="U197" s="43"/>
      <c r="V197" s="43"/>
      <c r="W197" s="43"/>
      <c r="X197" s="43"/>
      <c r="Y197" s="43"/>
      <c r="Z197" s="43"/>
      <c r="AA197" s="43"/>
      <c r="AB197" s="43"/>
      <c r="AC197" s="43"/>
      <c r="AD197" s="43"/>
      <c r="AE197" s="43"/>
      <c r="AF197" s="43"/>
      <c r="AG197" s="43"/>
      <c r="AH197" s="43"/>
      <c r="AI197" s="43"/>
      <c r="AJ197" s="43"/>
      <c r="AK197" s="35"/>
      <c r="AL197" s="35"/>
      <c r="AM197" s="35"/>
      <c r="AN197" s="35"/>
      <c r="AO197" s="35"/>
      <c r="AP197" s="36"/>
      <c r="AQ197" s="36"/>
      <c r="AR197" s="36"/>
      <c r="AS197" s="36"/>
      <c r="AT197" s="36"/>
      <c r="AU197" s="36"/>
      <c r="AV197" s="36"/>
      <c r="AW197" s="36"/>
      <c r="AX197" s="36"/>
      <c r="AY197" s="36"/>
      <c r="AZ197" s="36"/>
      <c r="BA197" s="36"/>
      <c r="BB197" s="36"/>
      <c r="BC197" s="36"/>
      <c r="BD197" s="36"/>
      <c r="BE197" s="36"/>
      <c r="BF197" s="36"/>
      <c r="BG197" s="36"/>
    </row>
    <row r="198" spans="2:59" s="30" customFormat="1" ht="30" x14ac:dyDescent="0.2">
      <c r="B198" s="76" t="s">
        <v>549</v>
      </c>
      <c r="C198" s="156" t="s">
        <v>309</v>
      </c>
      <c r="D198" s="312"/>
      <c r="E198" s="33"/>
      <c r="G198" s="33"/>
      <c r="H198" s="81"/>
      <c r="J198" s="32" t="s">
        <v>696</v>
      </c>
      <c r="K198" s="92" t="str">
        <f>IF(ISNUMBER(L198),L198,IF(C198=Pudotusvalikot!$V$3,"--",IF(C198=Pudotusvalikot!$V$4,Muut!$F$15+Muut!$F$18,IF(C198=Pudotusvalikot!$V$5,Muut!$F$16+Muut!$F$19,IF(C198=Pudotusvalikot!$V$6,Muut!$F$17+Muut!$F$20,Muut!$F$11+Muut!$F$13)/1000))))</f>
        <v>--</v>
      </c>
      <c r="L198" s="71"/>
      <c r="M198" s="83" t="str">
        <f>IF(ISNUMBER(L198),"gCO2/e-yksikkö",IF(C198=Pudotusvalikot!$R$3,"--",IF(C198=Pudotusvalikot!$R$4,"gCO2/kWh",IF(C198=Pudotusvalikot!$R$5,"kgCO2/h",IF(C198=Pudotusvalikot!$R$6,"gCO2/kWh",IF(C198=Pudotusvalikot!$R$7,"kgCO2/l","kgCO2/kWh"))))))</f>
        <v>kgCO2/kWh</v>
      </c>
      <c r="N198" s="83"/>
      <c r="O198" s="250"/>
      <c r="Q198" s="129"/>
      <c r="R198" s="105" t="str">
        <f>IF(ISNUMBER(R202),R202,IF(ISNUMBER(R204),R204,""))</f>
        <v/>
      </c>
      <c r="S198" s="98" t="s">
        <v>160</v>
      </c>
      <c r="T198" s="43"/>
      <c r="U198" s="43"/>
      <c r="V198" s="43"/>
      <c r="W198" s="43"/>
      <c r="X198" s="43"/>
      <c r="Y198" s="43"/>
      <c r="Z198" s="43"/>
      <c r="AA198" s="43"/>
      <c r="AB198" s="43"/>
      <c r="AC198" s="43"/>
      <c r="AD198" s="43"/>
      <c r="AE198" s="43"/>
      <c r="AF198" s="43"/>
      <c r="AG198" s="43"/>
      <c r="AH198" s="43"/>
      <c r="AI198" s="43"/>
      <c r="AJ198" s="43"/>
      <c r="AK198" s="35"/>
      <c r="AL198" s="35"/>
      <c r="AM198" s="35"/>
      <c r="AN198" s="35"/>
      <c r="AO198" s="35"/>
      <c r="AP198" s="36"/>
      <c r="AQ198" s="36"/>
      <c r="AR198" s="36"/>
      <c r="AS198" s="36"/>
      <c r="AT198" s="36"/>
      <c r="AU198" s="36"/>
      <c r="AV198" s="36"/>
      <c r="AW198" s="36"/>
      <c r="AX198" s="36"/>
      <c r="AY198" s="36"/>
      <c r="AZ198" s="36"/>
      <c r="BA198" s="36"/>
      <c r="BB198" s="36"/>
      <c r="BC198" s="36"/>
      <c r="BD198" s="36"/>
      <c r="BE198" s="36"/>
      <c r="BF198" s="36"/>
      <c r="BG198" s="36"/>
    </row>
    <row r="199" spans="2:59" s="30" customFormat="1" ht="15" x14ac:dyDescent="0.2">
      <c r="B199" s="166" t="s">
        <v>754</v>
      </c>
      <c r="C199" s="156"/>
      <c r="D199" s="81" t="s">
        <v>8</v>
      </c>
      <c r="G199" s="33"/>
      <c r="H199" s="81"/>
      <c r="J199" s="32" t="s">
        <v>754</v>
      </c>
      <c r="K199" s="382">
        <f>IF(ISNUMBER(L199),L199,IF(OR(C198="Bensiini",C198="Diesel"),Muut!$F$35,Muut!$F$36))</f>
        <v>0.4</v>
      </c>
      <c r="L199" s="382" t="str">
        <f>IF(ISNUMBER(C199),C199/100,"--")</f>
        <v>--</v>
      </c>
      <c r="M199" s="83"/>
      <c r="N199" s="83"/>
      <c r="O199" s="260"/>
      <c r="Q199" s="34"/>
      <c r="R199" s="59"/>
      <c r="S199" s="98"/>
      <c r="T199" s="43"/>
      <c r="U199" s="43"/>
      <c r="V199" s="43"/>
      <c r="W199" s="43"/>
      <c r="X199" s="43"/>
      <c r="Y199" s="43"/>
      <c r="Z199" s="43"/>
      <c r="AA199" s="43"/>
      <c r="AB199" s="43"/>
      <c r="AC199" s="43"/>
      <c r="AD199" s="43"/>
      <c r="AE199" s="43"/>
      <c r="AF199" s="43"/>
      <c r="AG199" s="43"/>
      <c r="AH199" s="43"/>
      <c r="AI199" s="43"/>
      <c r="AJ199" s="43"/>
      <c r="AK199" s="35"/>
      <c r="AL199" s="35"/>
      <c r="AM199" s="35"/>
      <c r="AN199" s="36"/>
      <c r="AO199" s="36"/>
      <c r="AP199" s="36"/>
      <c r="AQ199" s="36"/>
      <c r="AR199" s="36"/>
      <c r="AS199" s="36"/>
      <c r="AT199" s="36"/>
      <c r="AU199" s="36"/>
      <c r="AV199" s="36"/>
      <c r="AW199" s="36"/>
      <c r="AX199" s="36"/>
      <c r="AY199" s="36"/>
      <c r="AZ199" s="36"/>
      <c r="BA199" s="36"/>
      <c r="BB199" s="36"/>
      <c r="BC199" s="36"/>
      <c r="BD199" s="36"/>
      <c r="BE199" s="36"/>
    </row>
    <row r="200" spans="2:59" s="30" customFormat="1" ht="15" x14ac:dyDescent="0.2">
      <c r="B200" s="52" t="s">
        <v>283</v>
      </c>
      <c r="C200" s="156"/>
      <c r="D200" s="86" t="s">
        <v>268</v>
      </c>
      <c r="E200" s="77"/>
      <c r="G200" s="77"/>
      <c r="H200" s="81"/>
      <c r="M200" s="81"/>
      <c r="N200" s="81"/>
      <c r="O200" s="96"/>
      <c r="Q200" s="129"/>
      <c r="R200" s="95"/>
      <c r="S200" s="35"/>
      <c r="T200" s="35"/>
      <c r="U200" s="43"/>
      <c r="V200" s="43"/>
      <c r="W200" s="43"/>
      <c r="X200" s="43"/>
      <c r="Y200" s="43"/>
      <c r="Z200" s="43"/>
      <c r="AA200" s="43"/>
      <c r="AB200" s="43"/>
      <c r="AC200" s="43"/>
      <c r="AD200" s="43"/>
      <c r="AE200" s="43"/>
      <c r="AF200" s="43"/>
      <c r="AG200" s="43"/>
      <c r="AH200" s="43"/>
      <c r="AI200" s="43"/>
      <c r="AJ200" s="43"/>
      <c r="AK200" s="35"/>
      <c r="AL200" s="35"/>
      <c r="AM200" s="35"/>
      <c r="AN200" s="35"/>
      <c r="AO200" s="35"/>
      <c r="AP200" s="36"/>
      <c r="AQ200" s="36"/>
      <c r="AR200" s="36"/>
      <c r="AS200" s="36"/>
      <c r="AT200" s="36"/>
      <c r="AU200" s="36"/>
      <c r="AV200" s="36"/>
      <c r="AW200" s="36"/>
      <c r="AX200" s="36"/>
      <c r="AY200" s="36"/>
      <c r="AZ200" s="36"/>
      <c r="BA200" s="36"/>
      <c r="BB200" s="36"/>
      <c r="BC200" s="36"/>
      <c r="BD200" s="36"/>
      <c r="BE200" s="36"/>
      <c r="BF200" s="36"/>
      <c r="BG200" s="36"/>
    </row>
    <row r="201" spans="2:59" s="30" customFormat="1" ht="15" x14ac:dyDescent="0.2">
      <c r="B201" s="52" t="s">
        <v>548</v>
      </c>
      <c r="C201" s="33"/>
      <c r="D201" s="81"/>
      <c r="G201" s="33"/>
      <c r="H201" s="81"/>
      <c r="J201" s="32"/>
      <c r="K201" s="37"/>
      <c r="L201" s="37"/>
      <c r="M201" s="81"/>
      <c r="N201" s="81"/>
      <c r="O201" s="96"/>
      <c r="Q201" s="129"/>
      <c r="R201" s="43" t="s">
        <v>318</v>
      </c>
      <c r="S201" s="35"/>
      <c r="T201" s="35" t="s">
        <v>171</v>
      </c>
      <c r="U201" s="43"/>
      <c r="V201" s="220"/>
      <c r="W201" s="220"/>
      <c r="X201" s="43"/>
      <c r="Y201" s="43"/>
      <c r="Z201" s="43"/>
      <c r="AA201" s="43"/>
      <c r="AB201" s="43"/>
      <c r="AC201" s="43"/>
      <c r="AD201" s="43"/>
      <c r="AE201" s="43"/>
      <c r="AF201" s="43"/>
      <c r="AG201" s="43"/>
      <c r="AH201" s="43"/>
      <c r="AI201" s="43"/>
      <c r="AJ201" s="43"/>
      <c r="AK201" s="35"/>
      <c r="AL201" s="35"/>
      <c r="AM201" s="35"/>
      <c r="AN201" s="35"/>
      <c r="AO201" s="35"/>
      <c r="AP201" s="36"/>
      <c r="AQ201" s="36"/>
      <c r="AR201" s="36"/>
      <c r="AS201" s="36"/>
      <c r="AT201" s="36"/>
      <c r="AU201" s="36"/>
      <c r="AV201" s="36"/>
      <c r="AW201" s="36"/>
      <c r="AX201" s="36"/>
      <c r="AY201" s="36"/>
      <c r="AZ201" s="36"/>
      <c r="BA201" s="36"/>
      <c r="BB201" s="36"/>
      <c r="BC201" s="36"/>
      <c r="BD201" s="36"/>
      <c r="BE201" s="36"/>
      <c r="BF201" s="36"/>
      <c r="BG201" s="36"/>
    </row>
    <row r="202" spans="2:59" s="30" customFormat="1" ht="30" x14ac:dyDescent="0.2">
      <c r="B202" s="166" t="s">
        <v>553</v>
      </c>
      <c r="C202" s="152"/>
      <c r="D202" s="81" t="s">
        <v>264</v>
      </c>
      <c r="E202" s="33"/>
      <c r="G202" s="33"/>
      <c r="H202" s="81"/>
      <c r="M202" s="81"/>
      <c r="N202" s="81"/>
      <c r="O202" s="96"/>
      <c r="Q202" s="129"/>
      <c r="R202" s="191" t="str">
        <f>IF(ISNUMBER(C202),IF(AND(ISNUMBER(C200),C198="Aggregaatti"),C200*IF(D200="vuosi",365*24,IF(D200="kuukausi",30*24,IF(D200="päivä",24,1)))*T202,IF(C198="Aggregaatti",C202*(Muut!$F$15+Muut!$F$19),C202*T202)),"")</f>
        <v/>
      </c>
      <c r="S202" s="98" t="s">
        <v>160</v>
      </c>
      <c r="T202" s="191" t="str">
        <f>IF(ISNUMBER(C202),K198,"")</f>
        <v/>
      </c>
      <c r="U202" s="43"/>
      <c r="V202" s="220"/>
      <c r="W202" s="220"/>
      <c r="X202" s="43"/>
      <c r="Y202" s="43"/>
      <c r="Z202" s="43"/>
      <c r="AA202" s="43"/>
      <c r="AB202" s="43"/>
      <c r="AC202" s="43"/>
      <c r="AD202" s="43"/>
      <c r="AE202" s="43"/>
      <c r="AF202" s="43"/>
      <c r="AG202" s="43"/>
      <c r="AH202" s="43"/>
      <c r="AI202" s="43"/>
      <c r="AJ202" s="43"/>
      <c r="AK202" s="35"/>
      <c r="AL202" s="35"/>
      <c r="AM202" s="35"/>
      <c r="AN202" s="35"/>
      <c r="AO202" s="35"/>
      <c r="AP202" s="36"/>
      <c r="AQ202" s="36"/>
      <c r="AR202" s="36"/>
      <c r="AS202" s="36"/>
      <c r="AT202" s="36"/>
      <c r="AU202" s="36"/>
      <c r="AV202" s="36"/>
      <c r="AW202" s="36"/>
      <c r="AX202" s="36"/>
      <c r="AY202" s="36"/>
      <c r="AZ202" s="36"/>
      <c r="BA202" s="36"/>
      <c r="BB202" s="36"/>
      <c r="BC202" s="36"/>
      <c r="BD202" s="36"/>
      <c r="BE202" s="36"/>
      <c r="BF202" s="36"/>
      <c r="BG202" s="36"/>
    </row>
    <row r="203" spans="2:59" s="30" customFormat="1" ht="15" x14ac:dyDescent="0.2">
      <c r="B203" s="52" t="s">
        <v>552</v>
      </c>
      <c r="C203" s="33"/>
      <c r="D203" s="81"/>
      <c r="G203" s="77"/>
      <c r="H203" s="81"/>
      <c r="M203" s="81"/>
      <c r="N203" s="81"/>
      <c r="O203" s="96"/>
      <c r="Q203" s="129"/>
      <c r="R203" s="43" t="s">
        <v>318</v>
      </c>
      <c r="S203" s="35"/>
      <c r="T203" s="35" t="s">
        <v>705</v>
      </c>
      <c r="U203" s="43"/>
      <c r="V203" s="220"/>
      <c r="W203" s="220"/>
      <c r="X203" s="43"/>
      <c r="Y203" s="43"/>
      <c r="Z203" s="43"/>
      <c r="AA203" s="43"/>
      <c r="AB203" s="43"/>
      <c r="AC203" s="43"/>
      <c r="AD203" s="43"/>
      <c r="AE203" s="43"/>
      <c r="AF203" s="43"/>
      <c r="AG203" s="43"/>
      <c r="AH203" s="43"/>
      <c r="AI203" s="43"/>
      <c r="AJ203" s="43"/>
      <c r="AK203" s="35"/>
      <c r="AL203" s="35"/>
      <c r="AM203" s="35"/>
      <c r="AN203" s="35"/>
      <c r="AO203" s="35"/>
      <c r="AP203" s="36"/>
      <c r="AQ203" s="36"/>
      <c r="AR203" s="36"/>
      <c r="AS203" s="36"/>
      <c r="AT203" s="36"/>
      <c r="AU203" s="36"/>
      <c r="AV203" s="36"/>
      <c r="AW203" s="36"/>
      <c r="AX203" s="36"/>
      <c r="AY203" s="36"/>
      <c r="AZ203" s="36"/>
      <c r="BA203" s="36"/>
      <c r="BB203" s="36"/>
      <c r="BC203" s="36"/>
      <c r="BD203" s="36"/>
      <c r="BE203" s="36"/>
      <c r="BF203" s="36"/>
      <c r="BG203" s="36"/>
    </row>
    <row r="204" spans="2:59" s="30" customFormat="1" ht="15" x14ac:dyDescent="0.2">
      <c r="B204" s="44" t="s">
        <v>788</v>
      </c>
      <c r="C204" s="441"/>
      <c r="D204" s="81" t="s">
        <v>195</v>
      </c>
      <c r="G204" s="77"/>
      <c r="H204" s="81"/>
      <c r="M204" s="81"/>
      <c r="N204" s="81"/>
      <c r="O204" s="96"/>
      <c r="Q204" s="129"/>
      <c r="R204" s="191" t="str">
        <f>IF(AND(ISNUMBER(C204),ISNUMBER(C200)),IF(D200="vuosi",365*24,IF(D200="kuukausi",30*24,IF(D200="päivä",24,1)))*C200*T204,"")</f>
        <v/>
      </c>
      <c r="S204" s="98" t="s">
        <v>160</v>
      </c>
      <c r="T204" s="191" t="str">
        <f>IF(ISNUMBER(C204),IF(C198="Ostosähkö",K198/K199,IF(C198="Aurinkopaneelit",K198/K199,IF(C198="Aggregaatti",K198,K198/K199))),IF(AND(C198="Aggregaatti",ISNUMBER(C200)),K198,""))</f>
        <v/>
      </c>
      <c r="U204" s="43"/>
      <c r="V204" s="220"/>
      <c r="W204" s="220"/>
      <c r="X204" s="43"/>
      <c r="Y204" s="43"/>
      <c r="Z204" s="43"/>
      <c r="AA204" s="43"/>
      <c r="AB204" s="43"/>
      <c r="AC204" s="43"/>
      <c r="AD204" s="43"/>
      <c r="AE204" s="43"/>
      <c r="AF204" s="43"/>
      <c r="AG204" s="43"/>
      <c r="AH204" s="43"/>
      <c r="AI204" s="43"/>
      <c r="AJ204" s="43"/>
      <c r="AK204" s="35"/>
      <c r="AL204" s="35"/>
      <c r="AM204" s="35"/>
      <c r="AN204" s="35"/>
      <c r="AO204" s="35"/>
      <c r="AP204" s="36"/>
      <c r="AQ204" s="36"/>
      <c r="AR204" s="36"/>
      <c r="AS204" s="36"/>
      <c r="AT204" s="36"/>
      <c r="AU204" s="36"/>
      <c r="AV204" s="36"/>
      <c r="AW204" s="36"/>
      <c r="AX204" s="36"/>
      <c r="AY204" s="36"/>
      <c r="AZ204" s="36"/>
      <c r="BA204" s="36"/>
      <c r="BB204" s="36"/>
      <c r="BC204" s="36"/>
      <c r="BD204" s="36"/>
      <c r="BE204" s="36"/>
      <c r="BF204" s="36"/>
      <c r="BG204" s="36"/>
    </row>
    <row r="205" spans="2:59" s="30" customFormat="1" ht="15" x14ac:dyDescent="0.2">
      <c r="D205" s="81"/>
      <c r="H205" s="81"/>
      <c r="M205" s="81"/>
      <c r="N205" s="81"/>
      <c r="O205" s="81"/>
      <c r="Q205" s="129"/>
      <c r="R205" s="237"/>
      <c r="S205" s="220"/>
      <c r="T205" s="170"/>
      <c r="U205" s="43"/>
      <c r="V205" s="43"/>
      <c r="W205" s="43"/>
      <c r="X205" s="43"/>
      <c r="Y205" s="43"/>
      <c r="Z205" s="43"/>
      <c r="AA205" s="43"/>
      <c r="AB205" s="43"/>
      <c r="AC205" s="43"/>
      <c r="AD205" s="43"/>
      <c r="AE205" s="43"/>
      <c r="AF205" s="43"/>
      <c r="AG205" s="43"/>
      <c r="AH205" s="43"/>
      <c r="AI205" s="43"/>
      <c r="AJ205" s="43"/>
      <c r="AK205" s="35"/>
      <c r="AL205" s="35"/>
      <c r="AM205" s="35"/>
      <c r="AN205" s="35"/>
      <c r="AO205" s="35"/>
      <c r="AP205" s="36"/>
      <c r="AQ205" s="36"/>
      <c r="AR205" s="36"/>
      <c r="AS205" s="36"/>
      <c r="AT205" s="36"/>
      <c r="AU205" s="36"/>
      <c r="AV205" s="36"/>
      <c r="AW205" s="36"/>
      <c r="AX205" s="36"/>
      <c r="AY205" s="36"/>
      <c r="AZ205" s="36"/>
      <c r="BA205" s="36"/>
      <c r="BB205" s="36"/>
      <c r="BC205" s="36"/>
      <c r="BD205" s="36"/>
      <c r="BE205" s="36"/>
      <c r="BF205" s="36"/>
      <c r="BG205" s="36"/>
    </row>
    <row r="206" spans="2:59" s="289" customFormat="1" ht="18" x14ac:dyDescent="0.2">
      <c r="B206" s="286" t="s">
        <v>293</v>
      </c>
      <c r="C206" s="287"/>
      <c r="D206" s="288"/>
      <c r="G206" s="287"/>
      <c r="H206" s="288"/>
      <c r="I206" s="402"/>
      <c r="K206" s="287"/>
      <c r="L206" s="287"/>
      <c r="M206" s="288"/>
      <c r="N206" s="288"/>
      <c r="O206" s="291"/>
      <c r="P206" s="311"/>
      <c r="Q206" s="295"/>
      <c r="S206" s="294"/>
      <c r="T206" s="294"/>
      <c r="U206" s="294"/>
      <c r="V206" s="294"/>
      <c r="W206" s="294"/>
      <c r="X206" s="294"/>
      <c r="Y206" s="294"/>
      <c r="Z206" s="294"/>
      <c r="AA206" s="294"/>
      <c r="AB206" s="294"/>
      <c r="AC206" s="294"/>
      <c r="AD206" s="294"/>
      <c r="AE206" s="294"/>
      <c r="AF206" s="294"/>
      <c r="AG206" s="294"/>
      <c r="AH206" s="294"/>
      <c r="AI206" s="294"/>
      <c r="AJ206" s="294"/>
      <c r="AK206" s="294"/>
      <c r="AL206" s="294"/>
      <c r="AM206" s="294"/>
      <c r="AN206" s="295"/>
      <c r="AO206" s="295"/>
      <c r="AP206" s="295"/>
      <c r="AQ206" s="295"/>
      <c r="AR206" s="295"/>
      <c r="AS206" s="295"/>
      <c r="AT206" s="295"/>
      <c r="AU206" s="295"/>
      <c r="AV206" s="295"/>
      <c r="AW206" s="295"/>
      <c r="AX206" s="295"/>
      <c r="AY206" s="295"/>
      <c r="AZ206" s="295"/>
      <c r="BA206" s="295"/>
      <c r="BB206" s="295"/>
      <c r="BC206" s="295"/>
      <c r="BD206" s="295"/>
      <c r="BE206" s="295"/>
    </row>
    <row r="207" spans="2:59" s="30" customFormat="1" ht="15.75" x14ac:dyDescent="0.2">
      <c r="B207" s="8"/>
      <c r="C207" s="33"/>
      <c r="D207" s="81"/>
      <c r="G207" s="33"/>
      <c r="H207" s="81"/>
      <c r="J207" s="32"/>
      <c r="M207" s="81"/>
      <c r="N207" s="81"/>
      <c r="O207" s="249" t="s">
        <v>584</v>
      </c>
      <c r="Q207" s="34"/>
      <c r="R207" s="43" t="s">
        <v>318</v>
      </c>
      <c r="S207" s="35"/>
      <c r="T207" s="43"/>
      <c r="U207" s="43"/>
      <c r="V207" s="43"/>
      <c r="W207" s="43"/>
      <c r="X207" s="43"/>
      <c r="Y207" s="43"/>
      <c r="Z207" s="43"/>
      <c r="AA207" s="43"/>
      <c r="AB207" s="43"/>
      <c r="AC207" s="43"/>
      <c r="AD207" s="43"/>
      <c r="AE207" s="35"/>
      <c r="AF207" s="35"/>
      <c r="AG207" s="35"/>
      <c r="AH207" s="35"/>
      <c r="AI207" s="35"/>
      <c r="AJ207" s="35"/>
      <c r="AK207" s="35"/>
      <c r="AL207" s="35"/>
      <c r="AM207" s="35"/>
      <c r="AN207" s="36"/>
      <c r="AO207" s="36"/>
      <c r="AP207" s="36"/>
      <c r="AQ207" s="36"/>
      <c r="AR207" s="36"/>
      <c r="AS207" s="36"/>
      <c r="AT207" s="36"/>
      <c r="AU207" s="36"/>
      <c r="AV207" s="36"/>
      <c r="AW207" s="36"/>
      <c r="AX207" s="36"/>
      <c r="AY207" s="36"/>
      <c r="AZ207" s="36"/>
      <c r="BA207" s="36"/>
      <c r="BB207" s="36"/>
      <c r="BC207" s="36"/>
      <c r="BD207" s="36"/>
      <c r="BE207" s="36"/>
    </row>
    <row r="208" spans="2:59" s="30" customFormat="1" ht="15" customHeight="1" x14ac:dyDescent="0.2">
      <c r="B208" s="30" t="s">
        <v>753</v>
      </c>
      <c r="J208" s="32"/>
      <c r="K208" s="37"/>
      <c r="L208" s="37"/>
      <c r="M208" s="81"/>
      <c r="N208" s="81"/>
      <c r="O208" s="249"/>
      <c r="Q208" s="34"/>
      <c r="R208" s="35"/>
      <c r="S208" s="35"/>
      <c r="T208" s="35"/>
      <c r="U208" s="35"/>
      <c r="V208" s="35"/>
      <c r="W208" s="35"/>
      <c r="X208" s="35"/>
      <c r="Y208" s="35"/>
      <c r="Z208" s="35"/>
      <c r="AA208" s="35"/>
      <c r="AB208" s="35"/>
      <c r="AC208" s="35"/>
      <c r="AD208" s="35"/>
      <c r="AE208" s="35"/>
      <c r="AF208" s="35"/>
      <c r="AG208" s="35"/>
      <c r="AH208" s="35"/>
      <c r="AI208" s="35"/>
      <c r="AJ208" s="35"/>
      <c r="AK208" s="36"/>
      <c r="AL208" s="36"/>
      <c r="AM208" s="36"/>
      <c r="AN208" s="36"/>
      <c r="AO208" s="36"/>
      <c r="AP208" s="36"/>
      <c r="AQ208" s="36"/>
      <c r="AR208" s="36"/>
      <c r="AS208" s="36"/>
      <c r="AT208" s="36"/>
      <c r="AU208" s="36"/>
      <c r="AV208" s="36"/>
      <c r="AW208" s="36"/>
      <c r="AX208" s="36"/>
      <c r="AY208" s="36"/>
      <c r="AZ208" s="36"/>
      <c r="BA208" s="36"/>
      <c r="BB208" s="36"/>
    </row>
    <row r="209" spans="2:59" s="30" customFormat="1" ht="15.75" x14ac:dyDescent="0.2">
      <c r="B209" s="8"/>
      <c r="C209" s="33"/>
      <c r="D209" s="81"/>
      <c r="G209" s="33"/>
      <c r="H209" s="81"/>
      <c r="J209" s="32"/>
      <c r="K209" s="37" t="s">
        <v>297</v>
      </c>
      <c r="L209" s="37" t="s">
        <v>185</v>
      </c>
      <c r="M209" s="81"/>
      <c r="N209" s="81"/>
      <c r="O209" s="249" t="s">
        <v>584</v>
      </c>
      <c r="Q209" s="129"/>
      <c r="R209" s="43" t="s">
        <v>318</v>
      </c>
      <c r="S209" s="43"/>
      <c r="T209" s="43"/>
      <c r="U209" s="43"/>
      <c r="V209" s="43"/>
      <c r="W209" s="43"/>
      <c r="X209" s="43"/>
      <c r="Y209" s="43"/>
      <c r="Z209" s="43"/>
      <c r="AA209" s="43"/>
      <c r="AB209" s="43"/>
      <c r="AC209" s="43"/>
      <c r="AD209" s="43"/>
      <c r="AE209" s="43"/>
      <c r="AF209" s="43"/>
      <c r="AG209" s="43"/>
      <c r="AH209" s="43"/>
      <c r="AI209" s="43"/>
      <c r="AJ209" s="43"/>
      <c r="AK209" s="35"/>
      <c r="AL209" s="35"/>
      <c r="AM209" s="35"/>
      <c r="AN209" s="35"/>
      <c r="AO209" s="35"/>
      <c r="AP209" s="36"/>
      <c r="AQ209" s="36"/>
      <c r="AR209" s="36"/>
      <c r="AS209" s="36"/>
      <c r="AT209" s="36"/>
      <c r="AU209" s="36"/>
      <c r="AV209" s="36"/>
      <c r="AW209" s="36"/>
      <c r="AX209" s="36"/>
      <c r="AY209" s="36"/>
      <c r="AZ209" s="36"/>
      <c r="BA209" s="36"/>
      <c r="BB209" s="36"/>
      <c r="BC209" s="36"/>
      <c r="BD209" s="36"/>
      <c r="BE209" s="36"/>
      <c r="BF209" s="36"/>
      <c r="BG209" s="36"/>
    </row>
    <row r="210" spans="2:59" s="30" customFormat="1" ht="30" x14ac:dyDescent="0.2">
      <c r="B210" s="76" t="s">
        <v>549</v>
      </c>
      <c r="C210" s="156" t="s">
        <v>309</v>
      </c>
      <c r="D210" s="33"/>
      <c r="E210" s="33"/>
      <c r="G210" s="33"/>
      <c r="H210" s="81"/>
      <c r="J210" s="32" t="s">
        <v>696</v>
      </c>
      <c r="K210" s="92" t="str">
        <f>IF(ISNUMBER(L210),L210,IF(C210=Pudotusvalikot!$V$3,"--",IF(C210=Pudotusvalikot!$V$4,Muut!$F$15+Muut!$F$18,IF(C210=Pudotusvalikot!$V$5,Muut!$F$16+Muut!$F$19,IF(C210=Pudotusvalikot!$V$6,Muut!$F$17+Muut!$F$20,Muut!$F$11+Muut!$F$13)/1000))))</f>
        <v>--</v>
      </c>
      <c r="L210" s="71"/>
      <c r="M210" s="83" t="str">
        <f>IF(ISNUMBER(L210),"gCO2/e-yksikkö",IF(C210=Pudotusvalikot!$R$3,"--",IF(C210=Pudotusvalikot!$R$4,"gCO2/kWh",IF(C210=Pudotusvalikot!$R$5,"kgCO2/h",IF(C210=Pudotusvalikot!$R$6,"gCO2/kWh",IF(C210=Pudotusvalikot!$R$7,"kgCO2/l","kgCO2/kWh"))))))</f>
        <v>kgCO2/kWh</v>
      </c>
      <c r="N210" s="83"/>
      <c r="O210" s="250"/>
      <c r="Q210" s="129"/>
      <c r="R210" s="105" t="str">
        <f>IF(ISNUMBER(R214),R214,IF(ISNUMBER(R216),R216,""))</f>
        <v/>
      </c>
      <c r="S210" s="98" t="s">
        <v>160</v>
      </c>
      <c r="T210" s="43"/>
      <c r="U210" s="43"/>
      <c r="V210" s="43"/>
      <c r="W210" s="43"/>
      <c r="X210" s="43"/>
      <c r="Y210" s="43"/>
      <c r="Z210" s="43"/>
      <c r="AA210" s="43"/>
      <c r="AB210" s="43"/>
      <c r="AC210" s="43"/>
      <c r="AD210" s="43"/>
      <c r="AE210" s="43"/>
      <c r="AF210" s="43"/>
      <c r="AG210" s="43"/>
      <c r="AH210" s="43"/>
      <c r="AI210" s="43"/>
      <c r="AJ210" s="43"/>
      <c r="AK210" s="35"/>
      <c r="AL210" s="35"/>
      <c r="AM210" s="35"/>
      <c r="AN210" s="35"/>
      <c r="AO210" s="35"/>
      <c r="AP210" s="36"/>
      <c r="AQ210" s="36"/>
      <c r="AR210" s="36"/>
      <c r="AS210" s="36"/>
      <c r="AT210" s="36"/>
      <c r="AU210" s="36"/>
      <c r="AV210" s="36"/>
      <c r="AW210" s="36"/>
      <c r="AX210" s="36"/>
      <c r="AY210" s="36"/>
      <c r="AZ210" s="36"/>
      <c r="BA210" s="36"/>
      <c r="BB210" s="36"/>
      <c r="BC210" s="36"/>
      <c r="BD210" s="36"/>
      <c r="BE210" s="36"/>
      <c r="BF210" s="36"/>
      <c r="BG210" s="36"/>
    </row>
    <row r="211" spans="2:59" s="30" customFormat="1" ht="15" x14ac:dyDescent="0.2">
      <c r="B211" s="166" t="s">
        <v>754</v>
      </c>
      <c r="C211" s="156"/>
      <c r="D211" s="81" t="s">
        <v>8</v>
      </c>
      <c r="E211" s="33"/>
      <c r="G211" s="33"/>
      <c r="H211" s="81"/>
      <c r="J211" s="32" t="s">
        <v>754</v>
      </c>
      <c r="K211" s="382">
        <f>IF(ISNUMBER(L211),L211,IF(OR(C210="Bensiini",C210="Diesel"),Muut!$F$35,Muut!$F$36))</f>
        <v>0.4</v>
      </c>
      <c r="L211" s="382" t="str">
        <f>IF(ISNUMBER(C211),C211/100,"--")</f>
        <v>--</v>
      </c>
      <c r="M211" s="83"/>
      <c r="N211" s="83"/>
      <c r="O211" s="260"/>
      <c r="Q211" s="34"/>
      <c r="R211" s="59"/>
      <c r="S211" s="98"/>
      <c r="T211" s="43"/>
      <c r="U211" s="43"/>
      <c r="V211" s="43"/>
      <c r="W211" s="43"/>
      <c r="X211" s="43"/>
      <c r="Y211" s="43"/>
      <c r="Z211" s="43"/>
      <c r="AA211" s="43"/>
      <c r="AB211" s="43"/>
      <c r="AC211" s="43"/>
      <c r="AD211" s="43"/>
      <c r="AE211" s="43"/>
      <c r="AF211" s="43"/>
      <c r="AG211" s="43"/>
      <c r="AH211" s="43"/>
      <c r="AI211" s="43"/>
      <c r="AJ211" s="43"/>
      <c r="AK211" s="35"/>
      <c r="AL211" s="35"/>
      <c r="AM211" s="35"/>
      <c r="AN211" s="36"/>
      <c r="AO211" s="36"/>
      <c r="AP211" s="36"/>
      <c r="AQ211" s="36"/>
      <c r="AR211" s="36"/>
      <c r="AS211" s="36"/>
      <c r="AT211" s="36"/>
      <c r="AU211" s="36"/>
      <c r="AV211" s="36"/>
      <c r="AW211" s="36"/>
      <c r="AX211" s="36"/>
      <c r="AY211" s="36"/>
      <c r="AZ211" s="36"/>
      <c r="BA211" s="36"/>
      <c r="BB211" s="36"/>
      <c r="BC211" s="36"/>
      <c r="BD211" s="36"/>
      <c r="BE211" s="36"/>
    </row>
    <row r="212" spans="2:59" s="30" customFormat="1" ht="15" x14ac:dyDescent="0.2">
      <c r="B212" s="52" t="s">
        <v>283</v>
      </c>
      <c r="C212" s="156"/>
      <c r="D212" s="90" t="s">
        <v>267</v>
      </c>
      <c r="E212" s="77"/>
      <c r="G212" s="77"/>
      <c r="H212" s="81"/>
      <c r="M212" s="81"/>
      <c r="N212" s="81"/>
      <c r="O212" s="96"/>
      <c r="Q212" s="129"/>
      <c r="R212" s="95"/>
      <c r="S212" s="35"/>
      <c r="T212" s="35"/>
      <c r="U212" s="43"/>
      <c r="V212" s="43"/>
      <c r="W212" s="43"/>
      <c r="X212" s="43"/>
      <c r="Y212" s="43"/>
      <c r="Z212" s="43"/>
      <c r="AA212" s="43"/>
      <c r="AB212" s="43"/>
      <c r="AC212" s="43"/>
      <c r="AD212" s="43"/>
      <c r="AE212" s="43"/>
      <c r="AF212" s="43"/>
      <c r="AG212" s="43"/>
      <c r="AH212" s="43"/>
      <c r="AI212" s="43"/>
      <c r="AJ212" s="43"/>
      <c r="AK212" s="35"/>
      <c r="AL212" s="35"/>
      <c r="AM212" s="35"/>
      <c r="AN212" s="35"/>
      <c r="AO212" s="35"/>
      <c r="AP212" s="36"/>
      <c r="AQ212" s="36"/>
      <c r="AR212" s="36"/>
      <c r="AS212" s="36"/>
      <c r="AT212" s="36"/>
      <c r="AU212" s="36"/>
      <c r="AV212" s="36"/>
      <c r="AW212" s="36"/>
      <c r="AX212" s="36"/>
      <c r="AY212" s="36"/>
      <c r="AZ212" s="36"/>
      <c r="BA212" s="36"/>
      <c r="BB212" s="36"/>
      <c r="BC212" s="36"/>
      <c r="BD212" s="36"/>
      <c r="BE212" s="36"/>
      <c r="BF212" s="36"/>
      <c r="BG212" s="36"/>
    </row>
    <row r="213" spans="2:59" s="30" customFormat="1" ht="15" x14ac:dyDescent="0.2">
      <c r="B213" s="52" t="s">
        <v>548</v>
      </c>
      <c r="C213" s="33"/>
      <c r="D213" s="81"/>
      <c r="G213" s="33"/>
      <c r="H213" s="81"/>
      <c r="J213" s="32"/>
      <c r="K213" s="37"/>
      <c r="L213" s="37"/>
      <c r="M213" s="81"/>
      <c r="N213" s="81"/>
      <c r="O213" s="96"/>
      <c r="Q213" s="129"/>
      <c r="R213" s="43" t="s">
        <v>318</v>
      </c>
      <c r="S213" s="35"/>
      <c r="T213" s="35" t="s">
        <v>171</v>
      </c>
      <c r="U213" s="43"/>
      <c r="V213" s="43"/>
      <c r="W213" s="43"/>
      <c r="X213" s="43"/>
      <c r="Y213" s="43"/>
      <c r="Z213" s="43"/>
      <c r="AA213" s="43"/>
      <c r="AB213" s="43"/>
      <c r="AC213" s="43"/>
      <c r="AD213" s="43"/>
      <c r="AE213" s="43"/>
      <c r="AF213" s="43"/>
      <c r="AG213" s="43"/>
      <c r="AH213" s="43"/>
      <c r="AI213" s="43"/>
      <c r="AJ213" s="43"/>
      <c r="AK213" s="35"/>
      <c r="AL213" s="35"/>
      <c r="AM213" s="35"/>
      <c r="AN213" s="35"/>
      <c r="AO213" s="35"/>
      <c r="AP213" s="36"/>
      <c r="AQ213" s="36"/>
      <c r="AR213" s="36"/>
      <c r="AS213" s="36"/>
      <c r="AT213" s="36"/>
      <c r="AU213" s="36"/>
      <c r="AV213" s="36"/>
      <c r="AW213" s="36"/>
      <c r="AX213" s="36"/>
      <c r="AY213" s="36"/>
      <c r="AZ213" s="36"/>
      <c r="BA213" s="36"/>
      <c r="BB213" s="36"/>
      <c r="BC213" s="36"/>
      <c r="BD213" s="36"/>
      <c r="BE213" s="36"/>
      <c r="BF213" s="36"/>
      <c r="BG213" s="36"/>
    </row>
    <row r="214" spans="2:59" s="30" customFormat="1" ht="30" x14ac:dyDescent="0.2">
      <c r="B214" s="166" t="s">
        <v>553</v>
      </c>
      <c r="C214" s="152"/>
      <c r="D214" s="81" t="s">
        <v>264</v>
      </c>
      <c r="E214" s="33"/>
      <c r="G214" s="33"/>
      <c r="H214" s="81"/>
      <c r="M214" s="81"/>
      <c r="N214" s="81"/>
      <c r="O214" s="96"/>
      <c r="Q214" s="129"/>
      <c r="R214" s="191" t="str">
        <f>IF(ISNUMBER(C214),IF(AND(ISNUMBER(C212),C210="Aggregaatti"),C212*IF(D212="vuosi",365*24,IF(D212="kuukausi",30*24,IF(D212="päivä",24,1)))*T214,IF(C210="Aggregaatti",C214*(Muut!$F$15+Muut!$F$19),C214*T214)),"")</f>
        <v/>
      </c>
      <c r="S214" s="98" t="s">
        <v>160</v>
      </c>
      <c r="T214" s="191" t="str">
        <f>IF(ISNUMBER(C214),K210,"")</f>
        <v/>
      </c>
      <c r="U214" s="43"/>
      <c r="V214" s="43"/>
      <c r="W214" s="43"/>
      <c r="X214" s="43"/>
      <c r="Y214" s="43"/>
      <c r="Z214" s="43"/>
      <c r="AA214" s="43"/>
      <c r="AB214" s="43"/>
      <c r="AC214" s="43"/>
      <c r="AD214" s="43"/>
      <c r="AE214" s="43"/>
      <c r="AF214" s="43"/>
      <c r="AG214" s="43"/>
      <c r="AH214" s="43"/>
      <c r="AI214" s="43"/>
      <c r="AJ214" s="43"/>
      <c r="AK214" s="35"/>
      <c r="AL214" s="35"/>
      <c r="AM214" s="35"/>
      <c r="AN214" s="35"/>
      <c r="AO214" s="35"/>
      <c r="AP214" s="36"/>
      <c r="AQ214" s="36"/>
      <c r="AR214" s="36"/>
      <c r="AS214" s="36"/>
      <c r="AT214" s="36"/>
      <c r="AU214" s="36"/>
      <c r="AV214" s="36"/>
      <c r="AW214" s="36"/>
      <c r="AX214" s="36"/>
      <c r="AY214" s="36"/>
      <c r="AZ214" s="36"/>
      <c r="BA214" s="36"/>
      <c r="BB214" s="36"/>
      <c r="BC214" s="36"/>
      <c r="BD214" s="36"/>
      <c r="BE214" s="36"/>
      <c r="BF214" s="36"/>
      <c r="BG214" s="36"/>
    </row>
    <row r="215" spans="2:59" s="30" customFormat="1" ht="15" x14ac:dyDescent="0.2">
      <c r="B215" s="52" t="s">
        <v>552</v>
      </c>
      <c r="C215" s="33"/>
      <c r="D215" s="81"/>
      <c r="G215" s="77"/>
      <c r="H215" s="81"/>
      <c r="M215" s="81"/>
      <c r="N215" s="81"/>
      <c r="O215" s="96"/>
      <c r="Q215" s="129"/>
      <c r="R215" s="43" t="s">
        <v>318</v>
      </c>
      <c r="S215" s="35"/>
      <c r="T215" s="35" t="s">
        <v>705</v>
      </c>
      <c r="U215" s="43"/>
      <c r="V215" s="43"/>
      <c r="W215" s="43"/>
      <c r="X215" s="43"/>
      <c r="Y215" s="43"/>
      <c r="Z215" s="43"/>
      <c r="AA215" s="43"/>
      <c r="AB215" s="43"/>
      <c r="AC215" s="43"/>
      <c r="AD215" s="43"/>
      <c r="AE215" s="43"/>
      <c r="AF215" s="43"/>
      <c r="AG215" s="43"/>
      <c r="AH215" s="43"/>
      <c r="AI215" s="43"/>
      <c r="AJ215" s="43"/>
      <c r="AK215" s="35"/>
      <c r="AL215" s="35"/>
      <c r="AM215" s="35"/>
      <c r="AN215" s="35"/>
      <c r="AO215" s="35"/>
      <c r="AP215" s="36"/>
      <c r="AQ215" s="36"/>
      <c r="AR215" s="36"/>
      <c r="AS215" s="36"/>
      <c r="AT215" s="36"/>
      <c r="AU215" s="36"/>
      <c r="AV215" s="36"/>
      <c r="AW215" s="36"/>
      <c r="AX215" s="36"/>
      <c r="AY215" s="36"/>
      <c r="AZ215" s="36"/>
      <c r="BA215" s="36"/>
      <c r="BB215" s="36"/>
      <c r="BC215" s="36"/>
      <c r="BD215" s="36"/>
      <c r="BE215" s="36"/>
      <c r="BF215" s="36"/>
      <c r="BG215" s="36"/>
    </row>
    <row r="216" spans="2:59" s="30" customFormat="1" ht="15" x14ac:dyDescent="0.2">
      <c r="B216" s="44" t="s">
        <v>551</v>
      </c>
      <c r="C216" s="441"/>
      <c r="D216" s="81" t="s">
        <v>195</v>
      </c>
      <c r="G216" s="77"/>
      <c r="H216" s="81"/>
      <c r="M216" s="81"/>
      <c r="N216" s="81"/>
      <c r="O216" s="96"/>
      <c r="Q216" s="129"/>
      <c r="R216" s="191" t="str">
        <f>IF(AND(ISNUMBER(C216),ISNUMBER(C212)),IF(D212="vuosi",365*24,IF(D212="kuukausi",30*24,IF(D212="päivä",24,1)))*C212*T216,"")</f>
        <v/>
      </c>
      <c r="S216" s="98" t="s">
        <v>160</v>
      </c>
      <c r="T216" s="191" t="str">
        <f>IF(ISNUMBER(C216),IF(C210="Ostosähkö",K210/K211,IF(C210="Aurinkopaneelit",K210/K211,IF(C210="Aggregaatti",K210,K210/K211))),IF(AND(C210="Aggregaatti",ISNUMBER(C212)),K210,""))</f>
        <v/>
      </c>
      <c r="U216" s="43"/>
      <c r="V216" s="43"/>
      <c r="W216" s="43"/>
      <c r="X216" s="43"/>
      <c r="Y216" s="43"/>
      <c r="Z216" s="43"/>
      <c r="AA216" s="43"/>
      <c r="AB216" s="43"/>
      <c r="AC216" s="43"/>
      <c r="AD216" s="43"/>
      <c r="AE216" s="43"/>
      <c r="AF216" s="43"/>
      <c r="AG216" s="43"/>
      <c r="AH216" s="43"/>
      <c r="AI216" s="43"/>
      <c r="AJ216" s="43"/>
      <c r="AK216" s="35"/>
      <c r="AL216" s="35"/>
      <c r="AM216" s="35"/>
      <c r="AN216" s="35"/>
      <c r="AO216" s="35"/>
      <c r="AP216" s="36"/>
      <c r="AQ216" s="36"/>
      <c r="AR216" s="36"/>
      <c r="AS216" s="36"/>
      <c r="AT216" s="36"/>
      <c r="AU216" s="36"/>
      <c r="AV216" s="36"/>
      <c r="AW216" s="36"/>
      <c r="AX216" s="36"/>
      <c r="AY216" s="36"/>
      <c r="AZ216" s="36"/>
      <c r="BA216" s="36"/>
      <c r="BB216" s="36"/>
      <c r="BC216" s="36"/>
      <c r="BD216" s="36"/>
      <c r="BE216" s="36"/>
      <c r="BF216" s="36"/>
      <c r="BG216" s="36"/>
    </row>
    <row r="217" spans="2:59" s="30" customFormat="1" ht="15" x14ac:dyDescent="0.2">
      <c r="D217" s="81"/>
      <c r="H217" s="81"/>
      <c r="M217" s="81"/>
      <c r="N217" s="81"/>
      <c r="O217" s="81"/>
      <c r="R217" s="237"/>
      <c r="S217" s="220"/>
      <c r="T217" s="170"/>
      <c r="U217" s="43"/>
      <c r="V217" s="43"/>
      <c r="W217" s="43"/>
      <c r="X217" s="43"/>
      <c r="Y217" s="43"/>
      <c r="Z217" s="43"/>
      <c r="AA217" s="43"/>
      <c r="AB217" s="43"/>
      <c r="AC217" s="43"/>
      <c r="AD217" s="43"/>
      <c r="AE217" s="43"/>
      <c r="AF217" s="43"/>
      <c r="AG217" s="43"/>
      <c r="AH217" s="43"/>
      <c r="AI217" s="43"/>
      <c r="AJ217" s="43"/>
      <c r="AK217" s="35"/>
      <c r="AL217" s="35"/>
      <c r="AM217" s="35"/>
      <c r="AN217" s="35"/>
      <c r="AO217" s="35"/>
      <c r="AP217" s="36"/>
      <c r="AQ217" s="36"/>
      <c r="AR217" s="36"/>
      <c r="AS217" s="36"/>
      <c r="AT217" s="36"/>
      <c r="AU217" s="36"/>
      <c r="AV217" s="36"/>
      <c r="AW217" s="36"/>
      <c r="AX217" s="36"/>
      <c r="AY217" s="36"/>
      <c r="AZ217" s="36"/>
      <c r="BA217" s="36"/>
      <c r="BB217" s="36"/>
      <c r="BC217" s="36"/>
      <c r="BD217" s="36"/>
      <c r="BE217" s="36"/>
      <c r="BF217" s="36"/>
      <c r="BG217" s="36"/>
    </row>
    <row r="218" spans="2:59" s="289" customFormat="1" ht="18" x14ac:dyDescent="0.2">
      <c r="B218" s="286" t="s">
        <v>288</v>
      </c>
      <c r="C218" s="287"/>
      <c r="D218" s="288"/>
      <c r="G218" s="287"/>
      <c r="H218" s="288"/>
      <c r="I218" s="402"/>
      <c r="K218" s="287"/>
      <c r="L218" s="287"/>
      <c r="M218" s="288"/>
      <c r="N218" s="288"/>
      <c r="O218" s="291"/>
      <c r="P218" s="311"/>
      <c r="Q218" s="295"/>
      <c r="S218" s="294"/>
      <c r="T218" s="294"/>
      <c r="U218" s="294"/>
      <c r="V218" s="294"/>
      <c r="W218" s="294"/>
      <c r="X218" s="294"/>
      <c r="Y218" s="294"/>
      <c r="Z218" s="294"/>
      <c r="AA218" s="294"/>
      <c r="AB218" s="294"/>
      <c r="AC218" s="294"/>
      <c r="AD218" s="294"/>
      <c r="AE218" s="294"/>
      <c r="AF218" s="294"/>
      <c r="AG218" s="294"/>
      <c r="AH218" s="294"/>
      <c r="AI218" s="294"/>
      <c r="AJ218" s="294"/>
      <c r="AK218" s="294"/>
      <c r="AL218" s="294"/>
      <c r="AM218" s="294"/>
      <c r="AN218" s="295"/>
      <c r="AO218" s="295"/>
      <c r="AP218" s="295"/>
      <c r="AQ218" s="295"/>
      <c r="AR218" s="295"/>
      <c r="AS218" s="295"/>
      <c r="AT218" s="295"/>
      <c r="AU218" s="295"/>
      <c r="AV218" s="295"/>
      <c r="AW218" s="295"/>
      <c r="AX218" s="295"/>
      <c r="AY218" s="295"/>
      <c r="AZ218" s="295"/>
      <c r="BA218" s="295"/>
      <c r="BB218" s="295"/>
      <c r="BC218" s="295"/>
      <c r="BD218" s="295"/>
      <c r="BE218" s="295"/>
    </row>
    <row r="219" spans="2:59" s="289" customFormat="1" ht="18" x14ac:dyDescent="0.2">
      <c r="B219" s="286"/>
      <c r="C219" s="287"/>
      <c r="D219" s="288"/>
      <c r="G219" s="287"/>
      <c r="H219" s="288"/>
      <c r="I219" s="402"/>
      <c r="K219" s="287"/>
      <c r="L219" s="287"/>
      <c r="M219" s="288"/>
      <c r="N219" s="288"/>
      <c r="O219" s="291"/>
      <c r="P219" s="311"/>
      <c r="Q219" s="295"/>
      <c r="S219" s="294"/>
      <c r="T219" s="294"/>
      <c r="U219" s="294"/>
      <c r="V219" s="294"/>
      <c r="W219" s="294"/>
      <c r="X219" s="294"/>
      <c r="Y219" s="294"/>
      <c r="Z219" s="294"/>
      <c r="AA219" s="294"/>
      <c r="AB219" s="294"/>
      <c r="AC219" s="294"/>
      <c r="AD219" s="294"/>
      <c r="AE219" s="294"/>
      <c r="AF219" s="294"/>
      <c r="AG219" s="294"/>
      <c r="AH219" s="294"/>
      <c r="AI219" s="294"/>
      <c r="AJ219" s="294"/>
      <c r="AK219" s="294"/>
      <c r="AL219" s="294"/>
      <c r="AM219" s="294"/>
      <c r="AN219" s="295"/>
      <c r="AO219" s="295"/>
      <c r="AP219" s="295"/>
      <c r="AQ219" s="295"/>
      <c r="AR219" s="295"/>
      <c r="AS219" s="295"/>
      <c r="AT219" s="295"/>
      <c r="AU219" s="295"/>
      <c r="AV219" s="295"/>
      <c r="AW219" s="295"/>
      <c r="AX219" s="295"/>
      <c r="AY219" s="295"/>
      <c r="AZ219" s="295"/>
      <c r="BA219" s="295"/>
      <c r="BB219" s="295"/>
      <c r="BC219" s="295"/>
      <c r="BD219" s="295"/>
      <c r="BE219" s="295"/>
    </row>
    <row r="220" spans="2:59" s="30" customFormat="1" ht="15.75" x14ac:dyDescent="0.2">
      <c r="B220" s="8"/>
      <c r="C220" s="33"/>
      <c r="D220" s="81"/>
      <c r="G220" s="33"/>
      <c r="H220" s="81"/>
      <c r="J220" s="32"/>
      <c r="M220" s="81"/>
      <c r="N220" s="81"/>
      <c r="O220" s="249" t="s">
        <v>584</v>
      </c>
      <c r="Q220" s="34"/>
      <c r="R220" s="43" t="s">
        <v>318</v>
      </c>
      <c r="S220" s="35"/>
      <c r="T220" s="43"/>
      <c r="U220" s="43"/>
      <c r="V220" s="43"/>
      <c r="W220" s="43"/>
      <c r="X220" s="43"/>
      <c r="Y220" s="43"/>
      <c r="Z220" s="43"/>
      <c r="AA220" s="43"/>
      <c r="AB220" s="43"/>
      <c r="AC220" s="43"/>
      <c r="AD220" s="43"/>
      <c r="AE220" s="35"/>
      <c r="AF220" s="35"/>
      <c r="AG220" s="35"/>
      <c r="AH220" s="35"/>
      <c r="AI220" s="35"/>
      <c r="AJ220" s="35"/>
      <c r="AK220" s="35"/>
      <c r="AL220" s="35"/>
      <c r="AM220" s="35"/>
      <c r="AN220" s="36"/>
      <c r="AO220" s="36"/>
      <c r="AP220" s="36"/>
      <c r="AQ220" s="36"/>
      <c r="AR220" s="36"/>
      <c r="AS220" s="36"/>
      <c r="AT220" s="36"/>
      <c r="AU220" s="36"/>
      <c r="AV220" s="36"/>
      <c r="AW220" s="36"/>
      <c r="AX220" s="36"/>
      <c r="AY220" s="36"/>
      <c r="AZ220" s="36"/>
      <c r="BA220" s="36"/>
      <c r="BB220" s="36"/>
      <c r="BC220" s="36"/>
      <c r="BD220" s="36"/>
      <c r="BE220" s="36"/>
    </row>
    <row r="221" spans="2:59" s="30" customFormat="1" ht="15" customHeight="1" x14ac:dyDescent="0.2">
      <c r="B221" s="30" t="s">
        <v>753</v>
      </c>
      <c r="J221" s="32"/>
      <c r="K221" s="37"/>
      <c r="L221" s="37"/>
      <c r="M221" s="81"/>
      <c r="N221" s="81"/>
      <c r="O221" s="249"/>
      <c r="Q221" s="34"/>
      <c r="R221" s="35"/>
      <c r="S221" s="35"/>
      <c r="T221" s="35"/>
      <c r="U221" s="35"/>
      <c r="V221" s="35"/>
      <c r="W221" s="35"/>
      <c r="X221" s="35"/>
      <c r="Y221" s="35"/>
      <c r="Z221" s="35"/>
      <c r="AA221" s="35"/>
      <c r="AB221" s="35"/>
      <c r="AC221" s="35"/>
      <c r="AD221" s="35"/>
      <c r="AE221" s="35"/>
      <c r="AF221" s="35"/>
      <c r="AG221" s="35"/>
      <c r="AH221" s="35"/>
      <c r="AI221" s="35"/>
      <c r="AJ221" s="35"/>
      <c r="AK221" s="36"/>
      <c r="AL221" s="36"/>
      <c r="AM221" s="36"/>
      <c r="AN221" s="36"/>
      <c r="AO221" s="36"/>
      <c r="AP221" s="36"/>
      <c r="AQ221" s="36"/>
      <c r="AR221" s="36"/>
      <c r="AS221" s="36"/>
      <c r="AT221" s="36"/>
      <c r="AU221" s="36"/>
      <c r="AV221" s="36"/>
      <c r="AW221" s="36"/>
      <c r="AX221" s="36"/>
      <c r="AY221" s="36"/>
      <c r="AZ221" s="36"/>
      <c r="BA221" s="36"/>
      <c r="BB221" s="36"/>
    </row>
    <row r="222" spans="2:59" s="30" customFormat="1" ht="15.75" x14ac:dyDescent="0.2">
      <c r="B222" s="8"/>
      <c r="C222" s="33"/>
      <c r="D222" s="81"/>
      <c r="G222" s="33"/>
      <c r="H222" s="81"/>
      <c r="J222" s="32"/>
      <c r="K222" s="37" t="s">
        <v>297</v>
      </c>
      <c r="L222" s="37" t="s">
        <v>185</v>
      </c>
      <c r="M222" s="81"/>
      <c r="N222" s="81"/>
      <c r="O222" s="249" t="s">
        <v>584</v>
      </c>
      <c r="Q222" s="129"/>
      <c r="R222" s="43" t="s">
        <v>318</v>
      </c>
      <c r="S222" s="43"/>
      <c r="T222" s="43"/>
      <c r="U222" s="43"/>
      <c r="V222" s="43"/>
      <c r="W222" s="43"/>
      <c r="X222" s="43"/>
      <c r="Y222" s="43"/>
      <c r="Z222" s="43"/>
      <c r="AA222" s="43"/>
      <c r="AB222" s="43"/>
      <c r="AC222" s="43"/>
      <c r="AD222" s="43"/>
      <c r="AE222" s="43"/>
      <c r="AF222" s="43"/>
      <c r="AG222" s="43"/>
      <c r="AH222" s="43"/>
      <c r="AI222" s="43"/>
      <c r="AJ222" s="43"/>
      <c r="AK222" s="35"/>
      <c r="AL222" s="35"/>
      <c r="AM222" s="35"/>
      <c r="AN222" s="35"/>
      <c r="AO222" s="35"/>
      <c r="AP222" s="36"/>
      <c r="AQ222" s="36"/>
      <c r="AR222" s="36"/>
      <c r="AS222" s="36"/>
      <c r="AT222" s="36"/>
      <c r="AU222" s="36"/>
      <c r="AV222" s="36"/>
      <c r="AW222" s="36"/>
      <c r="AX222" s="36"/>
      <c r="AY222" s="36"/>
      <c r="AZ222" s="36"/>
      <c r="BA222" s="36"/>
      <c r="BB222" s="36"/>
      <c r="BC222" s="36"/>
      <c r="BD222" s="36"/>
      <c r="BE222" s="36"/>
      <c r="BF222" s="36"/>
      <c r="BG222" s="36"/>
    </row>
    <row r="223" spans="2:59" s="30" customFormat="1" ht="30" x14ac:dyDescent="0.2">
      <c r="B223" s="76" t="s">
        <v>549</v>
      </c>
      <c r="C223" s="156" t="s">
        <v>309</v>
      </c>
      <c r="D223" s="33"/>
      <c r="E223" s="33"/>
      <c r="G223" s="33"/>
      <c r="H223" s="81"/>
      <c r="J223" s="32" t="s">
        <v>696</v>
      </c>
      <c r="K223" s="92" t="str">
        <f>IF(ISNUMBER(L223),L223,IF(C223=Pudotusvalikot!$V$3,"--",IF(C223=Pudotusvalikot!$V$4,Muut!$F$15+Muut!$F$18,IF(C223=Pudotusvalikot!$V$5,Muut!$F$16+Muut!$F$19,IF(C223=Pudotusvalikot!$V$6,Muut!$F$17+Muut!$F$20,Muut!$F$11+Muut!$F$13)/1000))))</f>
        <v>--</v>
      </c>
      <c r="L223" s="71"/>
      <c r="M223" s="83" t="str">
        <f>IF(ISNUMBER(L223),"gCO2/e-yksikkö",IF(C223=Pudotusvalikot!$R$3,"--",IF(C223=Pudotusvalikot!$R$4,"gCO2/kWh",IF(C223=Pudotusvalikot!$R$5,"kgCO2/h",IF(C223=Pudotusvalikot!$R$6,"gCO2/kWh",IF(C223=Pudotusvalikot!$R$7,"kgCO2/l","kgCO2/kWh"))))))</f>
        <v>kgCO2/kWh</v>
      </c>
      <c r="N223" s="83"/>
      <c r="O223" s="250"/>
      <c r="Q223" s="129"/>
      <c r="R223" s="105" t="str">
        <f>IF(ISNUMBER(R227),R227,IF(ISNUMBER(R229),R229,""))</f>
        <v/>
      </c>
      <c r="S223" s="98" t="s">
        <v>160</v>
      </c>
      <c r="T223" s="43"/>
      <c r="U223" s="43"/>
      <c r="V223" s="43"/>
      <c r="W223" s="43"/>
      <c r="X223" s="43"/>
      <c r="Y223" s="43"/>
      <c r="Z223" s="43"/>
      <c r="AA223" s="43"/>
      <c r="AB223" s="43"/>
      <c r="AC223" s="43"/>
      <c r="AD223" s="43"/>
      <c r="AE223" s="43"/>
      <c r="AF223" s="43"/>
      <c r="AG223" s="43"/>
      <c r="AH223" s="43"/>
      <c r="AI223" s="43"/>
      <c r="AJ223" s="43"/>
      <c r="AK223" s="35"/>
      <c r="AL223" s="35"/>
      <c r="AM223" s="35"/>
      <c r="AN223" s="35"/>
      <c r="AO223" s="35"/>
      <c r="AP223" s="36"/>
      <c r="AQ223" s="36"/>
      <c r="AR223" s="36"/>
      <c r="AS223" s="36"/>
      <c r="AT223" s="36"/>
      <c r="AU223" s="36"/>
      <c r="AV223" s="36"/>
      <c r="AW223" s="36"/>
      <c r="AX223" s="36"/>
      <c r="AY223" s="36"/>
      <c r="AZ223" s="36"/>
      <c r="BA223" s="36"/>
      <c r="BB223" s="36"/>
      <c r="BC223" s="36"/>
      <c r="BD223" s="36"/>
      <c r="BE223" s="36"/>
      <c r="BF223" s="36"/>
      <c r="BG223" s="36"/>
    </row>
    <row r="224" spans="2:59" s="30" customFormat="1" ht="15" x14ac:dyDescent="0.2">
      <c r="B224" s="166" t="s">
        <v>754</v>
      </c>
      <c r="C224" s="156"/>
      <c r="D224" s="81" t="s">
        <v>8</v>
      </c>
      <c r="E224" s="33"/>
      <c r="G224" s="33"/>
      <c r="H224" s="81"/>
      <c r="J224" s="32" t="s">
        <v>754</v>
      </c>
      <c r="K224" s="382">
        <f>IF(ISNUMBER(L224),L224,IF(OR(C223="Bensiini",C223="Diesel"),Muut!$F$35,Muut!$F$36))</f>
        <v>0.4</v>
      </c>
      <c r="L224" s="382" t="str">
        <f>IF(ISNUMBER(C224),C224/100,"--")</f>
        <v>--</v>
      </c>
      <c r="M224" s="83"/>
      <c r="N224" s="83"/>
      <c r="O224" s="260"/>
      <c r="Q224" s="34"/>
      <c r="R224" s="59"/>
      <c r="S224" s="98"/>
      <c r="T224" s="43"/>
      <c r="U224" s="43"/>
      <c r="V224" s="43"/>
      <c r="W224" s="43"/>
      <c r="X224" s="43"/>
      <c r="Y224" s="43"/>
      <c r="Z224" s="43"/>
      <c r="AA224" s="43"/>
      <c r="AB224" s="43"/>
      <c r="AC224" s="43"/>
      <c r="AD224" s="43"/>
      <c r="AE224" s="43"/>
      <c r="AF224" s="43"/>
      <c r="AG224" s="43"/>
      <c r="AH224" s="43"/>
      <c r="AI224" s="43"/>
      <c r="AJ224" s="43"/>
      <c r="AK224" s="35"/>
      <c r="AL224" s="35"/>
      <c r="AM224" s="35"/>
      <c r="AN224" s="36"/>
      <c r="AO224" s="36"/>
      <c r="AP224" s="36"/>
      <c r="AQ224" s="36"/>
      <c r="AR224" s="36"/>
      <c r="AS224" s="36"/>
      <c r="AT224" s="36"/>
      <c r="AU224" s="36"/>
      <c r="AV224" s="36"/>
      <c r="AW224" s="36"/>
      <c r="AX224" s="36"/>
      <c r="AY224" s="36"/>
      <c r="AZ224" s="36"/>
      <c r="BA224" s="36"/>
      <c r="BB224" s="36"/>
      <c r="BC224" s="36"/>
      <c r="BD224" s="36"/>
      <c r="BE224" s="36"/>
    </row>
    <row r="225" spans="2:59" s="30" customFormat="1" ht="15" x14ac:dyDescent="0.2">
      <c r="B225" s="52" t="s">
        <v>283</v>
      </c>
      <c r="C225" s="156"/>
      <c r="D225" s="90" t="s">
        <v>267</v>
      </c>
      <c r="E225" s="77"/>
      <c r="G225" s="77"/>
      <c r="H225" s="81"/>
      <c r="M225" s="81"/>
      <c r="N225" s="81"/>
      <c r="O225" s="96"/>
      <c r="Q225" s="129"/>
      <c r="R225" s="95"/>
      <c r="S225" s="35"/>
      <c r="T225" s="35"/>
      <c r="U225" s="43"/>
      <c r="V225" s="43"/>
      <c r="W225" s="43"/>
      <c r="X225" s="43"/>
      <c r="Y225" s="43"/>
      <c r="Z225" s="43"/>
      <c r="AA225" s="43"/>
      <c r="AB225" s="43"/>
      <c r="AC225" s="43"/>
      <c r="AD225" s="43"/>
      <c r="AE225" s="43"/>
      <c r="AF225" s="43"/>
      <c r="AG225" s="43"/>
      <c r="AH225" s="43"/>
      <c r="AI225" s="43"/>
      <c r="AJ225" s="43"/>
      <c r="AK225" s="35"/>
      <c r="AL225" s="35"/>
      <c r="AM225" s="35"/>
      <c r="AN225" s="35"/>
      <c r="AO225" s="35"/>
      <c r="AP225" s="36"/>
      <c r="AQ225" s="36"/>
      <c r="AR225" s="36"/>
      <c r="AS225" s="36"/>
      <c r="AT225" s="36"/>
      <c r="AU225" s="36"/>
      <c r="AV225" s="36"/>
      <c r="AW225" s="36"/>
      <c r="AX225" s="36"/>
      <c r="AY225" s="36"/>
      <c r="AZ225" s="36"/>
      <c r="BA225" s="36"/>
      <c r="BB225" s="36"/>
      <c r="BC225" s="36"/>
      <c r="BD225" s="36"/>
      <c r="BE225" s="36"/>
      <c r="BF225" s="36"/>
      <c r="BG225" s="36"/>
    </row>
    <row r="226" spans="2:59" s="30" customFormat="1" ht="15" x14ac:dyDescent="0.2">
      <c r="B226" s="52" t="s">
        <v>548</v>
      </c>
      <c r="C226" s="33"/>
      <c r="D226" s="81"/>
      <c r="G226" s="33"/>
      <c r="H226" s="81"/>
      <c r="J226" s="32"/>
      <c r="K226" s="37"/>
      <c r="L226" s="37"/>
      <c r="M226" s="81"/>
      <c r="N226" s="81"/>
      <c r="O226" s="96"/>
      <c r="Q226" s="129"/>
      <c r="R226" s="43" t="s">
        <v>318</v>
      </c>
      <c r="S226" s="35"/>
      <c r="T226" s="35" t="s">
        <v>171</v>
      </c>
      <c r="U226" s="43"/>
      <c r="V226" s="43"/>
      <c r="W226" s="43"/>
      <c r="X226" s="43"/>
      <c r="Y226" s="43"/>
      <c r="Z226" s="43"/>
      <c r="AA226" s="43"/>
      <c r="AB226" s="43"/>
      <c r="AC226" s="43"/>
      <c r="AD226" s="43"/>
      <c r="AE226" s="43"/>
      <c r="AF226" s="43"/>
      <c r="AG226" s="43"/>
      <c r="AH226" s="43"/>
      <c r="AI226" s="43"/>
      <c r="AJ226" s="43"/>
      <c r="AK226" s="35"/>
      <c r="AL226" s="35"/>
      <c r="AM226" s="35"/>
      <c r="AN226" s="35"/>
      <c r="AO226" s="35"/>
      <c r="AP226" s="36"/>
      <c r="AQ226" s="36"/>
      <c r="AR226" s="36"/>
      <c r="AS226" s="36"/>
      <c r="AT226" s="36"/>
      <c r="AU226" s="36"/>
      <c r="AV226" s="36"/>
      <c r="AW226" s="36"/>
      <c r="AX226" s="36"/>
      <c r="AY226" s="36"/>
      <c r="AZ226" s="36"/>
      <c r="BA226" s="36"/>
      <c r="BB226" s="36"/>
      <c r="BC226" s="36"/>
      <c r="BD226" s="36"/>
      <c r="BE226" s="36"/>
      <c r="BF226" s="36"/>
      <c r="BG226" s="36"/>
    </row>
    <row r="227" spans="2:59" s="30" customFormat="1" ht="30" x14ac:dyDescent="0.2">
      <c r="B227" s="166" t="s">
        <v>553</v>
      </c>
      <c r="C227" s="152"/>
      <c r="D227" s="81" t="s">
        <v>264</v>
      </c>
      <c r="E227" s="33"/>
      <c r="G227" s="33"/>
      <c r="H227" s="81"/>
      <c r="M227" s="81"/>
      <c r="N227" s="81"/>
      <c r="O227" s="96"/>
      <c r="Q227" s="129"/>
      <c r="R227" s="191" t="str">
        <f>IF(ISNUMBER(C227),IF(AND(ISNUMBER(C225),C223="Aggregaatti"),C225*IF(D225="vuosi",365*24,IF(D225="kuukausi",30*24,IF(D225="päivä",24,1)))*T227,IF(C223="Aggregaatti",C227*(Muut!$F$15+Muut!$F$19),C227*T227)),"")</f>
        <v/>
      </c>
      <c r="S227" s="98" t="s">
        <v>160</v>
      </c>
      <c r="T227" s="191" t="str">
        <f>IF(ISNUMBER(C227),IF(C223="Ostosähkö", (K223)/1000,IF(C223="Aurinkopaneelit",(K223)/1000,K223)),"")</f>
        <v/>
      </c>
      <c r="U227" s="43"/>
      <c r="V227" s="43"/>
      <c r="W227" s="43"/>
      <c r="X227" s="43"/>
      <c r="Y227" s="43"/>
      <c r="Z227" s="43"/>
      <c r="AA227" s="43"/>
      <c r="AB227" s="43"/>
      <c r="AC227" s="43"/>
      <c r="AD227" s="43"/>
      <c r="AE227" s="43"/>
      <c r="AF227" s="43"/>
      <c r="AG227" s="43"/>
      <c r="AH227" s="43"/>
      <c r="AI227" s="43"/>
      <c r="AJ227" s="43"/>
      <c r="AK227" s="35"/>
      <c r="AL227" s="35"/>
      <c r="AM227" s="35"/>
      <c r="AN227" s="35"/>
      <c r="AO227" s="35"/>
      <c r="AP227" s="36"/>
      <c r="AQ227" s="36"/>
      <c r="AR227" s="36"/>
      <c r="AS227" s="36"/>
      <c r="AT227" s="36"/>
      <c r="AU227" s="36"/>
      <c r="AV227" s="36"/>
      <c r="AW227" s="36"/>
      <c r="AX227" s="36"/>
      <c r="AY227" s="36"/>
      <c r="AZ227" s="36"/>
      <c r="BA227" s="36"/>
      <c r="BB227" s="36"/>
      <c r="BC227" s="36"/>
      <c r="BD227" s="36"/>
      <c r="BE227" s="36"/>
      <c r="BF227" s="36"/>
      <c r="BG227" s="36"/>
    </row>
    <row r="228" spans="2:59" s="30" customFormat="1" ht="15" x14ac:dyDescent="0.2">
      <c r="B228" s="52" t="s">
        <v>552</v>
      </c>
      <c r="C228" s="33"/>
      <c r="D228" s="81"/>
      <c r="G228" s="77"/>
      <c r="H228" s="81"/>
      <c r="M228" s="81"/>
      <c r="N228" s="81"/>
      <c r="O228" s="96"/>
      <c r="Q228" s="129"/>
      <c r="R228" s="43" t="s">
        <v>318</v>
      </c>
      <c r="S228" s="35"/>
      <c r="T228" s="35" t="s">
        <v>705</v>
      </c>
      <c r="U228" s="43"/>
      <c r="V228" s="43"/>
      <c r="W228" s="43"/>
      <c r="X228" s="43"/>
      <c r="Y228" s="43"/>
      <c r="Z228" s="43"/>
      <c r="AA228" s="43"/>
      <c r="AB228" s="43"/>
      <c r="AC228" s="43"/>
      <c r="AD228" s="43"/>
      <c r="AE228" s="43"/>
      <c r="AF228" s="43"/>
      <c r="AG228" s="43"/>
      <c r="AH228" s="43"/>
      <c r="AI228" s="43"/>
      <c r="AJ228" s="43"/>
      <c r="AK228" s="35"/>
      <c r="AL228" s="35"/>
      <c r="AM228" s="35"/>
      <c r="AN228" s="35"/>
      <c r="AO228" s="35"/>
      <c r="AP228" s="36"/>
      <c r="AQ228" s="36"/>
      <c r="AR228" s="36"/>
      <c r="AS228" s="36"/>
      <c r="AT228" s="36"/>
      <c r="AU228" s="36"/>
      <c r="AV228" s="36"/>
      <c r="AW228" s="36"/>
      <c r="AX228" s="36"/>
      <c r="AY228" s="36"/>
      <c r="AZ228" s="36"/>
      <c r="BA228" s="36"/>
      <c r="BB228" s="36"/>
      <c r="BC228" s="36"/>
      <c r="BD228" s="36"/>
      <c r="BE228" s="36"/>
      <c r="BF228" s="36"/>
      <c r="BG228" s="36"/>
    </row>
    <row r="229" spans="2:59" s="30" customFormat="1" ht="15" x14ac:dyDescent="0.2">
      <c r="B229" s="44" t="s">
        <v>551</v>
      </c>
      <c r="C229" s="441"/>
      <c r="D229" s="81" t="s">
        <v>195</v>
      </c>
      <c r="G229" s="77"/>
      <c r="H229" s="81"/>
      <c r="M229" s="81"/>
      <c r="N229" s="81"/>
      <c r="O229" s="96"/>
      <c r="Q229" s="129"/>
      <c r="R229" s="191" t="str">
        <f>IF(AND(ISNUMBER(C229),ISNUMBER(C225)),IF(D225="vuosi",365*24,IF(D225="kuukausi",30*24,IF(D225="päivä",24,1)))*C225*T229,"")</f>
        <v/>
      </c>
      <c r="S229" s="98" t="s">
        <v>160</v>
      </c>
      <c r="T229" s="191" t="str">
        <f>IF(ISNUMBER(C229),IF(C223="Ostosähkö",K223/1000/K224,IF(C223="Aurinkopaneelit",K223/1000/K224,IF(C223="Aggregaatti",K223,K223/K224))),IF(AND(C223="Aggregaatti",ISNUMBER(C225)),K223,""))</f>
        <v/>
      </c>
      <c r="U229" s="43"/>
      <c r="V229" s="43"/>
      <c r="W229" s="43"/>
      <c r="X229" s="43"/>
      <c r="Y229" s="43"/>
      <c r="Z229" s="43"/>
      <c r="AA229" s="43"/>
      <c r="AB229" s="43"/>
      <c r="AC229" s="43"/>
      <c r="AD229" s="43"/>
      <c r="AE229" s="43"/>
      <c r="AF229" s="43"/>
      <c r="AG229" s="43"/>
      <c r="AH229" s="43"/>
      <c r="AI229" s="43"/>
      <c r="AJ229" s="43"/>
      <c r="AK229" s="35"/>
      <c r="AL229" s="35"/>
      <c r="AM229" s="35"/>
      <c r="AN229" s="35"/>
      <c r="AO229" s="35"/>
      <c r="AP229" s="36"/>
      <c r="AQ229" s="36"/>
      <c r="AR229" s="36"/>
      <c r="AS229" s="36"/>
      <c r="AT229" s="36"/>
      <c r="AU229" s="36"/>
      <c r="AV229" s="36"/>
      <c r="AW229" s="36"/>
      <c r="AX229" s="36"/>
      <c r="AY229" s="36"/>
      <c r="AZ229" s="36"/>
      <c r="BA229" s="36"/>
      <c r="BB229" s="36"/>
      <c r="BC229" s="36"/>
      <c r="BD229" s="36"/>
      <c r="BE229" s="36"/>
      <c r="BF229" s="36"/>
      <c r="BG229" s="36"/>
    </row>
    <row r="230" spans="2:59" s="30" customFormat="1" ht="15" x14ac:dyDescent="0.2">
      <c r="B230" s="52"/>
      <c r="C230" s="33"/>
      <c r="D230" s="33"/>
      <c r="E230" s="57"/>
      <c r="G230" s="33"/>
      <c r="H230" s="81"/>
      <c r="J230" s="32"/>
      <c r="K230" s="33"/>
      <c r="L230" s="33"/>
      <c r="M230" s="81"/>
      <c r="N230" s="81"/>
      <c r="O230" s="81"/>
      <c r="Q230" s="129"/>
      <c r="R230" s="102"/>
      <c r="S230" s="43"/>
      <c r="T230" s="43"/>
      <c r="U230" s="43"/>
      <c r="V230" s="43"/>
      <c r="W230" s="43"/>
      <c r="X230" s="43"/>
      <c r="Y230" s="43"/>
      <c r="Z230" s="43"/>
      <c r="AA230" s="43"/>
      <c r="AB230" s="43"/>
      <c r="AC230" s="43"/>
      <c r="AD230" s="43"/>
      <c r="AE230" s="43"/>
      <c r="AF230" s="43"/>
      <c r="AG230" s="43"/>
      <c r="AH230" s="43"/>
      <c r="AI230" s="43"/>
      <c r="AJ230" s="43"/>
      <c r="AK230" s="35"/>
      <c r="AL230" s="35"/>
      <c r="AM230" s="35"/>
      <c r="AN230" s="36"/>
      <c r="AO230" s="36"/>
      <c r="AP230" s="36"/>
      <c r="AQ230" s="36"/>
      <c r="AR230" s="36"/>
      <c r="AS230" s="36"/>
      <c r="AT230" s="36"/>
      <c r="AU230" s="36"/>
      <c r="AV230" s="36"/>
      <c r="AW230" s="36"/>
      <c r="AX230" s="36"/>
      <c r="AY230" s="36"/>
      <c r="AZ230" s="36"/>
      <c r="BA230" s="36"/>
      <c r="BB230" s="36"/>
      <c r="BC230" s="36"/>
      <c r="BD230" s="36"/>
      <c r="BE230" s="36"/>
    </row>
    <row r="231" spans="2:59" s="289" customFormat="1" ht="18" x14ac:dyDescent="0.2">
      <c r="B231" s="286" t="s">
        <v>42</v>
      </c>
      <c r="C231" s="287"/>
      <c r="D231" s="288"/>
      <c r="G231" s="287"/>
      <c r="H231" s="288"/>
      <c r="K231" s="287"/>
      <c r="L231" s="287"/>
      <c r="M231" s="288"/>
      <c r="N231" s="288"/>
      <c r="O231" s="291"/>
      <c r="P231" s="311"/>
      <c r="Q231" s="295"/>
      <c r="R231" s="289" t="str">
        <f>IF(OR(ISNUMBER(#REF!),ISNUMBER(#REF!),ISNUMBER(#REF!)),SUM(#REF!,#REF!,#REF!),"")</f>
        <v/>
      </c>
      <c r="S231" s="294"/>
      <c r="T231" s="294"/>
      <c r="U231" s="294"/>
      <c r="V231" s="294"/>
      <c r="W231" s="294"/>
      <c r="X231" s="294"/>
      <c r="Y231" s="294"/>
      <c r="Z231" s="294"/>
      <c r="AA231" s="294"/>
      <c r="AB231" s="294"/>
      <c r="AC231" s="294"/>
      <c r="AD231" s="294"/>
      <c r="AE231" s="294"/>
      <c r="AF231" s="294"/>
      <c r="AG231" s="294"/>
      <c r="AH231" s="294"/>
      <c r="AI231" s="294"/>
      <c r="AJ231" s="294"/>
      <c r="AK231" s="294"/>
      <c r="AL231" s="294"/>
      <c r="AM231" s="294"/>
      <c r="AN231" s="295"/>
      <c r="AO231" s="295"/>
      <c r="AP231" s="295"/>
      <c r="AQ231" s="295"/>
      <c r="AR231" s="295"/>
      <c r="AS231" s="295"/>
      <c r="AT231" s="295"/>
      <c r="AU231" s="295"/>
      <c r="AV231" s="295"/>
      <c r="AW231" s="295"/>
      <c r="AX231" s="295"/>
      <c r="AY231" s="295"/>
      <c r="AZ231" s="295"/>
      <c r="BA231" s="295"/>
      <c r="BB231" s="295"/>
      <c r="BC231" s="295"/>
      <c r="BD231" s="295"/>
      <c r="BE231" s="295"/>
    </row>
    <row r="232" spans="2:59" s="30" customFormat="1" ht="15.75" x14ac:dyDescent="0.2">
      <c r="B232" s="8"/>
      <c r="C232" s="33"/>
      <c r="D232" s="81"/>
      <c r="G232" s="33" t="s">
        <v>43</v>
      </c>
      <c r="H232" s="81"/>
      <c r="K232" s="37" t="s">
        <v>297</v>
      </c>
      <c r="L232" s="37" t="s">
        <v>185</v>
      </c>
      <c r="M232" s="81"/>
      <c r="N232" s="81"/>
      <c r="O232" s="249" t="s">
        <v>584</v>
      </c>
      <c r="Q232" s="34"/>
      <c r="R232" s="43" t="s">
        <v>318</v>
      </c>
      <c r="S232" s="43"/>
      <c r="T232" s="43" t="s">
        <v>238</v>
      </c>
      <c r="U232" s="43" t="s">
        <v>239</v>
      </c>
      <c r="V232" s="43" t="s">
        <v>240</v>
      </c>
      <c r="W232" s="43" t="s">
        <v>243</v>
      </c>
      <c r="X232" s="43" t="s">
        <v>241</v>
      </c>
      <c r="Y232" s="43" t="s">
        <v>242</v>
      </c>
      <c r="Z232" s="43" t="s">
        <v>244</v>
      </c>
      <c r="AA232" s="220"/>
      <c r="AB232" s="43"/>
      <c r="AC232" s="43"/>
      <c r="AD232" s="43"/>
      <c r="AE232" s="43"/>
      <c r="AF232" s="43"/>
      <c r="AG232" s="43"/>
      <c r="AH232" s="43"/>
      <c r="AI232" s="43"/>
      <c r="AJ232" s="43"/>
      <c r="AK232" s="35"/>
      <c r="AL232" s="35"/>
      <c r="AM232" s="35"/>
      <c r="AN232" s="36"/>
      <c r="AO232" s="36"/>
      <c r="AP232" s="36"/>
      <c r="AQ232" s="36"/>
      <c r="AR232" s="36"/>
      <c r="AS232" s="36"/>
      <c r="AT232" s="36"/>
      <c r="AU232" s="36"/>
      <c r="AV232" s="36"/>
      <c r="AW232" s="36"/>
      <c r="AX232" s="36"/>
      <c r="AY232" s="36"/>
      <c r="AZ232" s="36"/>
      <c r="BA232" s="36"/>
      <c r="BB232" s="36"/>
      <c r="BC232" s="36"/>
      <c r="BD232" s="36"/>
      <c r="BE232" s="36"/>
    </row>
    <row r="233" spans="2:59" s="30" customFormat="1" ht="15" x14ac:dyDescent="0.2">
      <c r="B233" s="52" t="s">
        <v>530</v>
      </c>
      <c r="C233" s="156"/>
      <c r="D233" s="81" t="s">
        <v>215</v>
      </c>
      <c r="G233" s="156"/>
      <c r="H233" s="81" t="s">
        <v>44</v>
      </c>
      <c r="J233" s="32" t="s">
        <v>514</v>
      </c>
      <c r="K233" s="108" t="str">
        <f>IFERROR(IF(ISNUMBER(L233),L233,VLOOKUP(C237,Kalusto!$C$100:$E$105,3,FALSE)),"--")</f>
        <v>--</v>
      </c>
      <c r="L233" s="61"/>
      <c r="M233" s="75" t="str">
        <f>IF(C237=Pudotusvalikot!$J$9,"kWh/100 km",IF(C237=Pudotusvalikot!$J$6,"kg/100 km","l/100 km"))</f>
        <v>l/100 km</v>
      </c>
      <c r="N233" s="75"/>
      <c r="O233" s="250"/>
      <c r="Q233" s="34"/>
      <c r="R233" s="236">
        <f>SUM(U233:Z233)</f>
        <v>0</v>
      </c>
      <c r="S233" s="226" t="s">
        <v>160</v>
      </c>
      <c r="T233" s="211">
        <f>IF(ISNUMBER(C234*C233*G233),C234*C233*G233,"")</f>
        <v>0</v>
      </c>
      <c r="U233" s="213">
        <f>IF(ISNUMBER(T233),IF(C237=Pudotusvalikot!$J$5,(Muut!$F$16+Muut!$F$19)*(T233*K233/100),0),"")</f>
        <v>0</v>
      </c>
      <c r="V233" s="213">
        <f>IF(ISNUMBER(T233),IF(C237=Pudotusvalikot!$J$4,(Muut!$F$15+Muut!$F$18)*(T233*K233/100),0),"")</f>
        <v>0</v>
      </c>
      <c r="W233" s="213">
        <f>IF(ISNUMBER(T233),IF(C237=Pudotusvalikot!$J$6,(Muut!$F$17+Muut!$F$20)*(T233*K233/100),0),"")</f>
        <v>0</v>
      </c>
      <c r="X233" s="213">
        <f>IF(ISNUMBER(T233),IF(C237=Pudotusvalikot!$J$7,((Muut!$F$16+Muut!$F$19)*(100%-Kalusto!$O$103)+(Muut!$F$15+Muut!$F$18)*Kalusto!$O$103)*(T233*K233/100),0),"")</f>
        <v>0</v>
      </c>
      <c r="Y233" s="224">
        <f>IF(ISNUMBER(T233),IF(C237=Pudotusvalikot!$J$8,((Kalusto!$K$104)*(100%-Kalusto!$O$104)+(Kalusto!$M$104)*Kalusto!$O$104)*(Muut!$F$14+Muut!$F$13)/100*T233/1000+((Kalusto!$G$104)*(100%-Kalusto!$O$104)+(Kalusto!$I$104)*Kalusto!$O$104)*(K233+Muut!$F$19)/100*T233,0),"")</f>
        <v>0</v>
      </c>
      <c r="Z233" s="224">
        <f>IF(ISNUMBER(T233),IF(C237=Pudotusvalikot!$J$9,Kalusto!$E$105*(K233+Muut!$F$13)/100*T233/1000,0),"")</f>
        <v>0</v>
      </c>
      <c r="AA233" s="220"/>
      <c r="AB233" s="43"/>
      <c r="AC233" s="43"/>
      <c r="AD233" s="43"/>
      <c r="AE233" s="43"/>
      <c r="AF233" s="43"/>
      <c r="AG233" s="43"/>
      <c r="AH233" s="43"/>
      <c r="AI233" s="43"/>
      <c r="AJ233" s="43"/>
      <c r="AK233" s="35"/>
      <c r="AL233" s="35"/>
      <c r="AM233" s="35"/>
      <c r="AN233" s="36"/>
      <c r="AO233" s="36"/>
      <c r="AP233" s="36"/>
      <c r="AQ233" s="36"/>
      <c r="AR233" s="36"/>
      <c r="AS233" s="36"/>
      <c r="AT233" s="36"/>
      <c r="AU233" s="36"/>
      <c r="AV233" s="36"/>
      <c r="AW233" s="36"/>
      <c r="AX233" s="36"/>
      <c r="AY233" s="36"/>
      <c r="AZ233" s="36"/>
      <c r="BA233" s="36"/>
      <c r="BB233" s="36"/>
      <c r="BC233" s="36"/>
      <c r="BD233" s="36"/>
      <c r="BE233" s="36"/>
    </row>
    <row r="234" spans="2:59" s="30" customFormat="1" ht="15" x14ac:dyDescent="0.2">
      <c r="B234" s="44" t="s">
        <v>529</v>
      </c>
      <c r="C234" s="156"/>
      <c r="D234" s="81" t="s">
        <v>5</v>
      </c>
      <c r="G234" s="33"/>
      <c r="H234" s="81"/>
      <c r="K234" s="130"/>
      <c r="L234" s="37"/>
      <c r="M234" s="81"/>
      <c r="N234" s="81"/>
      <c r="O234" s="96"/>
      <c r="Q234" s="34"/>
      <c r="R234" s="43" t="s">
        <v>318</v>
      </c>
      <c r="S234" s="43"/>
      <c r="T234" s="43" t="s">
        <v>238</v>
      </c>
      <c r="U234" s="43" t="s">
        <v>239</v>
      </c>
      <c r="V234" s="43" t="s">
        <v>240</v>
      </c>
      <c r="W234" s="43" t="s">
        <v>243</v>
      </c>
      <c r="X234" s="43" t="s">
        <v>241</v>
      </c>
      <c r="Y234" s="43" t="s">
        <v>242</v>
      </c>
      <c r="Z234" s="43" t="s">
        <v>244</v>
      </c>
      <c r="AA234" s="220"/>
      <c r="AB234" s="43"/>
      <c r="AC234" s="43"/>
      <c r="AD234" s="43"/>
      <c r="AE234" s="43"/>
      <c r="AF234" s="43"/>
      <c r="AG234" s="43"/>
      <c r="AH234" s="43"/>
      <c r="AI234" s="43"/>
      <c r="AJ234" s="43"/>
      <c r="AK234" s="35"/>
      <c r="AL234" s="35"/>
      <c r="AM234" s="35"/>
      <c r="AN234" s="36"/>
      <c r="AO234" s="36"/>
      <c r="AP234" s="36"/>
      <c r="AQ234" s="36"/>
      <c r="AR234" s="36"/>
      <c r="AS234" s="36"/>
      <c r="AT234" s="36"/>
      <c r="AU234" s="36"/>
      <c r="AV234" s="36"/>
      <c r="AW234" s="36"/>
      <c r="AX234" s="36"/>
      <c r="AY234" s="36"/>
      <c r="AZ234" s="36"/>
      <c r="BA234" s="36"/>
      <c r="BB234" s="36"/>
      <c r="BC234" s="36"/>
      <c r="BD234" s="36"/>
      <c r="BE234" s="36"/>
    </row>
    <row r="235" spans="2:59" s="30" customFormat="1" ht="30" x14ac:dyDescent="0.2">
      <c r="B235" s="76" t="s">
        <v>528</v>
      </c>
      <c r="C235" s="156"/>
      <c r="D235" s="81" t="s">
        <v>216</v>
      </c>
      <c r="G235" s="156"/>
      <c r="H235" s="81" t="s">
        <v>44</v>
      </c>
      <c r="J235" s="32" t="s">
        <v>514</v>
      </c>
      <c r="K235" s="108" t="str">
        <f>IFERROR(IF(ISNUMBER(L235),L235,VLOOKUP(C237,Kalusto!$C$100:$E$105,3,FALSE)),"--")</f>
        <v>--</v>
      </c>
      <c r="L235" s="61"/>
      <c r="M235" s="75" t="str">
        <f>IF(C237=Pudotusvalikot!$J$9,"kWh/100 km",IF(C237=Pudotusvalikot!$J$6,"kg/100 km","l/100 km"))</f>
        <v>l/100 km</v>
      </c>
      <c r="N235" s="75"/>
      <c r="O235" s="263"/>
      <c r="Q235" s="34"/>
      <c r="R235" s="236">
        <f>SUM(U235:Z235)</f>
        <v>0</v>
      </c>
      <c r="S235" s="226" t="s">
        <v>160</v>
      </c>
      <c r="T235" s="211">
        <f>IF(ISNUMBER(C236*C235*50*G235),C236*C235*50*G235,"")</f>
        <v>0</v>
      </c>
      <c r="U235" s="213">
        <f>IF(ISNUMBER(T235),IF(C237=Pudotusvalikot!$J$5,(Muut!$F$16+Muut!$F$19)*(T235*K235/100),0),"")</f>
        <v>0</v>
      </c>
      <c r="V235" s="213">
        <f>IF(ISNUMBER(T235),IF(C237=Pudotusvalikot!$J$4,(Muut!$F$15+Muut!$F$18)*(T235*K235/100),0),"")</f>
        <v>0</v>
      </c>
      <c r="W235" s="213">
        <f>IF(ISNUMBER(T235),IF(C237=Pudotusvalikot!$J$6,(Muut!$F$17+Muut!$F$20)*(T235*K235/100),0),"")</f>
        <v>0</v>
      </c>
      <c r="X235" s="213">
        <f>IF(ISNUMBER(T235),IF(C237=Pudotusvalikot!$J$7,((Muut!$F$16+Muut!$F$19)*(100%-Kalusto!$O$103)+(Muut!$F$15+Muut!$F$18)*Kalusto!$O$103)*(T235*K235/100),0),"")</f>
        <v>0</v>
      </c>
      <c r="Y235" s="224">
        <f>IF(ISNUMBER(T235),IF(C237=Pudotusvalikot!$J$8,((Kalusto!$K$104)*(100%-Kalusto!$O$104)+(Kalusto!$M$104)*Kalusto!$O$104)*(Muut!$F$14+Muut!$F$13)/100*T235/1000+((Kalusto!$G$104)*(100%-Kalusto!$O$104)+(Kalusto!$I$104)*Kalusto!$O$104)*(K235+Muut!$F$19)/100*T235,0),"")</f>
        <v>0</v>
      </c>
      <c r="Z235" s="224">
        <f>IF(ISNUMBER(T235),IF(C237=Pudotusvalikot!$J$9,Kalusto!$E$105*(K235+Muut!$F$13)/100*T235/1000,0),"")</f>
        <v>0</v>
      </c>
      <c r="AA235" s="220"/>
      <c r="AB235" s="43"/>
      <c r="AC235" s="43"/>
      <c r="AD235" s="43"/>
      <c r="AE235" s="43"/>
      <c r="AF235" s="43"/>
      <c r="AG235" s="43"/>
      <c r="AH235" s="43"/>
      <c r="AI235" s="43"/>
      <c r="AJ235" s="43"/>
      <c r="AK235" s="35"/>
      <c r="AL235" s="35"/>
      <c r="AM235" s="35"/>
      <c r="AN235" s="36"/>
      <c r="AO235" s="36"/>
      <c r="AP235" s="36"/>
      <c r="AQ235" s="36"/>
      <c r="AR235" s="36"/>
      <c r="AS235" s="36"/>
      <c r="AT235" s="36"/>
      <c r="AU235" s="36"/>
      <c r="AV235" s="36"/>
      <c r="AW235" s="36"/>
      <c r="AX235" s="36"/>
      <c r="AY235" s="36"/>
      <c r="AZ235" s="36"/>
      <c r="BA235" s="36"/>
      <c r="BB235" s="36"/>
      <c r="BC235" s="36"/>
      <c r="BD235" s="36"/>
      <c r="BE235" s="36"/>
    </row>
    <row r="236" spans="2:59" s="30" customFormat="1" ht="15" x14ac:dyDescent="0.2">
      <c r="B236" s="44" t="s">
        <v>527</v>
      </c>
      <c r="C236" s="156"/>
      <c r="D236" s="81" t="s">
        <v>5</v>
      </c>
      <c r="G236" s="33"/>
      <c r="H236" s="81"/>
      <c r="K236" s="130"/>
      <c r="L236" s="37"/>
      <c r="M236" s="81"/>
      <c r="N236" s="81"/>
      <c r="O236" s="96"/>
      <c r="Q236" s="34"/>
      <c r="R236" s="43" t="s">
        <v>318</v>
      </c>
      <c r="S236" s="43"/>
      <c r="T236" s="43" t="s">
        <v>238</v>
      </c>
      <c r="U236" s="43" t="s">
        <v>239</v>
      </c>
      <c r="V236" s="43" t="s">
        <v>240</v>
      </c>
      <c r="W236" s="43" t="s">
        <v>243</v>
      </c>
      <c r="X236" s="43" t="s">
        <v>241</v>
      </c>
      <c r="Y236" s="43" t="s">
        <v>242</v>
      </c>
      <c r="Z236" s="43" t="s">
        <v>244</v>
      </c>
      <c r="AA236" s="220"/>
      <c r="AB236" s="43"/>
      <c r="AC236" s="43"/>
      <c r="AD236" s="43"/>
      <c r="AE236" s="43"/>
      <c r="AF236" s="43"/>
      <c r="AG236" s="43"/>
      <c r="AH236" s="43"/>
      <c r="AI236" s="43"/>
      <c r="AJ236" s="43"/>
      <c r="AK236" s="35"/>
      <c r="AL236" s="35"/>
      <c r="AM236" s="35"/>
      <c r="AN236" s="36"/>
      <c r="AO236" s="36"/>
      <c r="AP236" s="36"/>
      <c r="AQ236" s="36"/>
      <c r="AR236" s="36"/>
      <c r="AS236" s="36"/>
      <c r="AT236" s="36"/>
      <c r="AU236" s="36"/>
      <c r="AV236" s="36"/>
      <c r="AW236" s="36"/>
      <c r="AX236" s="36"/>
      <c r="AY236" s="36"/>
      <c r="AZ236" s="36"/>
      <c r="BA236" s="36"/>
      <c r="BB236" s="36"/>
      <c r="BC236" s="36"/>
      <c r="BD236" s="36"/>
      <c r="BE236" s="36"/>
    </row>
    <row r="237" spans="2:59" s="30" customFormat="1" ht="15" x14ac:dyDescent="0.2">
      <c r="B237" s="52" t="s">
        <v>524</v>
      </c>
      <c r="C237" s="474" t="s">
        <v>309</v>
      </c>
      <c r="D237" s="474"/>
      <c r="G237" s="33"/>
      <c r="H237" s="81"/>
      <c r="J237" s="32"/>
      <c r="K237" s="33"/>
      <c r="L237" s="33"/>
      <c r="M237" s="81"/>
      <c r="N237" s="81"/>
      <c r="O237" s="96"/>
      <c r="Q237" s="34"/>
      <c r="R237" s="102"/>
      <c r="S237" s="43"/>
      <c r="T237" s="43"/>
      <c r="U237" s="43"/>
      <c r="V237" s="43"/>
      <c r="W237" s="43"/>
      <c r="X237" s="43"/>
      <c r="Y237" s="43"/>
      <c r="Z237" s="43"/>
      <c r="AA237" s="43"/>
      <c r="AB237" s="43"/>
      <c r="AC237" s="43"/>
      <c r="AD237" s="43"/>
      <c r="AE237" s="43"/>
      <c r="AF237" s="43"/>
      <c r="AG237" s="43"/>
      <c r="AH237" s="43"/>
      <c r="AI237" s="43"/>
      <c r="AJ237" s="43"/>
      <c r="AK237" s="35"/>
      <c r="AL237" s="35"/>
      <c r="AM237" s="35"/>
      <c r="AN237" s="36"/>
      <c r="AO237" s="36"/>
      <c r="AP237" s="36"/>
      <c r="AQ237" s="36"/>
      <c r="AR237" s="36"/>
      <c r="AS237" s="36"/>
      <c r="AT237" s="36"/>
      <c r="AU237" s="36"/>
      <c r="AV237" s="36"/>
      <c r="AW237" s="36"/>
      <c r="AX237" s="36"/>
      <c r="AY237" s="36"/>
      <c r="AZ237" s="36"/>
      <c r="BA237" s="36"/>
      <c r="BB237" s="36"/>
      <c r="BC237" s="36"/>
      <c r="BD237" s="36"/>
      <c r="BE237" s="36"/>
    </row>
    <row r="238" spans="2:59" s="30" customFormat="1" ht="15" x14ac:dyDescent="0.2">
      <c r="B238" s="52"/>
      <c r="C238" s="52"/>
      <c r="D238" s="52"/>
      <c r="F238" s="52"/>
      <c r="G238" s="52"/>
      <c r="H238" s="52"/>
      <c r="I238" s="52"/>
      <c r="J238" s="32"/>
      <c r="K238" s="33"/>
      <c r="L238" s="33"/>
      <c r="M238" s="81"/>
      <c r="N238" s="81"/>
      <c r="O238" s="96"/>
      <c r="Q238" s="34"/>
      <c r="R238" s="102"/>
      <c r="S238" s="43"/>
      <c r="T238" s="43"/>
      <c r="U238" s="43"/>
      <c r="V238" s="43"/>
      <c r="W238" s="43"/>
      <c r="X238" s="43"/>
      <c r="Y238" s="43"/>
      <c r="Z238" s="43"/>
      <c r="AA238" s="43"/>
      <c r="AB238" s="43"/>
      <c r="AC238" s="43"/>
      <c r="AD238" s="43"/>
      <c r="AE238" s="43"/>
      <c r="AF238" s="43"/>
      <c r="AG238" s="43"/>
      <c r="AH238" s="43"/>
      <c r="AI238" s="43"/>
      <c r="AJ238" s="43"/>
      <c r="AK238" s="35"/>
      <c r="AL238" s="35"/>
      <c r="AM238" s="35"/>
      <c r="AN238" s="36"/>
      <c r="AO238" s="36"/>
      <c r="AP238" s="36"/>
      <c r="AQ238" s="36"/>
      <c r="AR238" s="36"/>
      <c r="AS238" s="36"/>
      <c r="AT238" s="36"/>
      <c r="AU238" s="36"/>
      <c r="AV238" s="36"/>
      <c r="AW238" s="36"/>
      <c r="AX238" s="36"/>
      <c r="AY238" s="36"/>
      <c r="AZ238" s="36"/>
      <c r="BA238" s="36"/>
      <c r="BB238" s="36"/>
      <c r="BC238" s="36"/>
      <c r="BD238" s="36"/>
      <c r="BE238" s="36"/>
    </row>
    <row r="239" spans="2:59" s="192" customFormat="1" ht="23.25" x14ac:dyDescent="0.2">
      <c r="B239" s="193" t="s">
        <v>290</v>
      </c>
      <c r="C239" s="194"/>
      <c r="D239" s="195"/>
      <c r="G239" s="194"/>
      <c r="H239" s="195"/>
      <c r="J239" s="196"/>
      <c r="O239" s="264"/>
      <c r="P239" s="197"/>
      <c r="Q239" s="198"/>
      <c r="R239" s="231"/>
      <c r="S239" s="242"/>
      <c r="T239" s="209"/>
      <c r="U239" s="210"/>
      <c r="V239" s="210"/>
      <c r="W239" s="210"/>
      <c r="X239" s="210"/>
      <c r="Y239" s="210"/>
      <c r="Z239" s="210"/>
      <c r="AA239" s="210"/>
      <c r="AB239" s="210"/>
      <c r="AC239" s="210"/>
      <c r="AD239" s="210"/>
      <c r="AE239" s="210"/>
      <c r="AF239" s="210"/>
      <c r="AG239" s="210"/>
      <c r="AH239" s="210"/>
      <c r="AI239" s="210"/>
      <c r="AJ239" s="210"/>
      <c r="AK239" s="201"/>
      <c r="AL239" s="201"/>
      <c r="AM239" s="201"/>
      <c r="AN239" s="201"/>
      <c r="AO239" s="201"/>
      <c r="AP239" s="200"/>
      <c r="AQ239" s="200"/>
      <c r="AR239" s="200"/>
      <c r="AS239" s="200"/>
      <c r="AT239" s="200"/>
      <c r="AU239" s="200"/>
      <c r="AV239" s="200"/>
      <c r="AW239" s="200"/>
      <c r="AX239" s="200"/>
      <c r="AY239" s="200"/>
      <c r="AZ239" s="200"/>
      <c r="BA239" s="200"/>
      <c r="BB239" s="200"/>
      <c r="BC239" s="200"/>
      <c r="BD239" s="200"/>
      <c r="BE239" s="200"/>
      <c r="BF239" s="200"/>
      <c r="BG239" s="200"/>
    </row>
    <row r="240" spans="2:59" s="30" customFormat="1" ht="15.75" x14ac:dyDescent="0.2">
      <c r="B240" s="8"/>
      <c r="C240" s="33"/>
      <c r="D240" s="81"/>
      <c r="G240" s="33"/>
      <c r="H240" s="81"/>
      <c r="K240" s="33"/>
      <c r="L240" s="33"/>
      <c r="M240" s="81"/>
      <c r="N240" s="81"/>
      <c r="O240" s="81"/>
      <c r="Q240" s="34"/>
      <c r="R240" s="102"/>
      <c r="S240" s="43"/>
      <c r="T240" s="43"/>
      <c r="U240" s="43"/>
      <c r="V240" s="43"/>
      <c r="W240" s="43"/>
      <c r="X240" s="43"/>
      <c r="Y240" s="43"/>
      <c r="Z240" s="43"/>
      <c r="AA240" s="43"/>
      <c r="AB240" s="43"/>
      <c r="AC240" s="43"/>
      <c r="AD240" s="43"/>
      <c r="AE240" s="43"/>
      <c r="AF240" s="43"/>
      <c r="AG240" s="43"/>
      <c r="AH240" s="43"/>
      <c r="AI240" s="43"/>
      <c r="AJ240" s="43"/>
      <c r="AK240" s="35"/>
      <c r="AL240" s="35"/>
      <c r="AM240" s="35"/>
      <c r="AN240" s="36"/>
      <c r="AO240" s="36"/>
      <c r="AP240" s="36"/>
      <c r="AQ240" s="36"/>
      <c r="AR240" s="36"/>
      <c r="AS240" s="36"/>
      <c r="AT240" s="36"/>
      <c r="AU240" s="36"/>
      <c r="AV240" s="36"/>
      <c r="AW240" s="36"/>
      <c r="AX240" s="36"/>
      <c r="AY240" s="36"/>
      <c r="AZ240" s="36"/>
      <c r="BA240" s="36"/>
      <c r="BB240" s="36"/>
      <c r="BC240" s="36"/>
      <c r="BD240" s="36"/>
      <c r="BE240" s="36"/>
    </row>
    <row r="241" spans="2:59" s="289" customFormat="1" ht="18" x14ac:dyDescent="0.2">
      <c r="B241" s="286" t="s">
        <v>440</v>
      </c>
      <c r="C241" s="287"/>
      <c r="D241" s="288"/>
      <c r="G241" s="287"/>
      <c r="H241" s="288"/>
      <c r="K241" s="287"/>
      <c r="L241" s="287"/>
      <c r="M241" s="288"/>
      <c r="N241" s="288"/>
      <c r="O241" s="291"/>
      <c r="P241" s="311"/>
      <c r="Q241" s="295"/>
      <c r="R241" s="289" t="str">
        <f>IF(OR(ISNUMBER(#REF!),ISNUMBER(#REF!),ISNUMBER(#REF!)),SUM(#REF!,#REF!,#REF!),"")</f>
        <v/>
      </c>
      <c r="S241" s="294"/>
      <c r="T241" s="294"/>
      <c r="U241" s="294"/>
      <c r="V241" s="294"/>
      <c r="W241" s="294"/>
      <c r="X241" s="294"/>
      <c r="Y241" s="294"/>
      <c r="Z241" s="294"/>
      <c r="AA241" s="294"/>
      <c r="AB241" s="294"/>
      <c r="AC241" s="294"/>
      <c r="AD241" s="294"/>
      <c r="AE241" s="294"/>
      <c r="AF241" s="294"/>
      <c r="AG241" s="294"/>
      <c r="AH241" s="294"/>
      <c r="AI241" s="294"/>
      <c r="AJ241" s="294"/>
      <c r="AK241" s="294"/>
      <c r="AL241" s="294"/>
      <c r="AM241" s="294"/>
      <c r="AN241" s="295"/>
      <c r="AO241" s="295"/>
      <c r="AP241" s="295"/>
      <c r="AQ241" s="295"/>
      <c r="AR241" s="295"/>
      <c r="AS241" s="295"/>
      <c r="AT241" s="295"/>
      <c r="AU241" s="295"/>
      <c r="AV241" s="295"/>
      <c r="AW241" s="295"/>
      <c r="AX241" s="295"/>
      <c r="AY241" s="295"/>
      <c r="AZ241" s="295"/>
      <c r="BA241" s="295"/>
      <c r="BB241" s="295"/>
      <c r="BC241" s="295"/>
      <c r="BD241" s="295"/>
      <c r="BE241" s="295"/>
    </row>
    <row r="242" spans="2:59" s="30" customFormat="1" ht="15" x14ac:dyDescent="0.2">
      <c r="C242" s="33"/>
      <c r="D242" s="81"/>
      <c r="G242" s="33"/>
      <c r="H242" s="81"/>
      <c r="K242" s="33"/>
      <c r="L242" s="33"/>
      <c r="M242" s="81"/>
      <c r="N242" s="81"/>
      <c r="O242" s="81"/>
      <c r="Q242" s="34"/>
      <c r="R242" s="102"/>
      <c r="S242" s="43"/>
      <c r="T242" s="43"/>
      <c r="U242" s="43"/>
      <c r="V242" s="43"/>
      <c r="W242" s="43"/>
      <c r="X242" s="43"/>
      <c r="Y242" s="43"/>
      <c r="Z242" s="43"/>
      <c r="AA242" s="43"/>
      <c r="AB242" s="43"/>
      <c r="AC242" s="43"/>
      <c r="AD242" s="43"/>
      <c r="AE242" s="43"/>
      <c r="AF242" s="43"/>
      <c r="AG242" s="43"/>
      <c r="AH242" s="43"/>
      <c r="AI242" s="43"/>
      <c r="AJ242" s="43"/>
      <c r="AK242" s="35"/>
      <c r="AL242" s="35"/>
      <c r="AM242" s="35"/>
      <c r="AN242" s="36"/>
      <c r="AO242" s="36"/>
      <c r="AP242" s="36"/>
      <c r="AQ242" s="36"/>
      <c r="AR242" s="36"/>
      <c r="AS242" s="36"/>
      <c r="AT242" s="36"/>
      <c r="AU242" s="36"/>
      <c r="AV242" s="36"/>
      <c r="AW242" s="36"/>
      <c r="AX242" s="36"/>
      <c r="AY242" s="36"/>
      <c r="AZ242" s="36"/>
      <c r="BA242" s="36"/>
      <c r="BB242" s="36"/>
      <c r="BC242" s="36"/>
      <c r="BD242" s="36"/>
      <c r="BE242" s="36"/>
      <c r="BF242" s="104"/>
      <c r="BG242" s="104"/>
    </row>
    <row r="243" spans="2:59" s="289" customFormat="1" ht="18" x14ac:dyDescent="0.2">
      <c r="B243" s="286" t="s">
        <v>55</v>
      </c>
      <c r="C243" s="287"/>
      <c r="D243" s="288"/>
      <c r="G243" s="287"/>
      <c r="H243" s="288"/>
      <c r="K243" s="287"/>
      <c r="L243" s="287"/>
      <c r="M243" s="288"/>
      <c r="N243" s="288"/>
      <c r="O243" s="291"/>
      <c r="P243" s="311"/>
      <c r="Q243" s="295"/>
      <c r="R243" s="289" t="str">
        <f>IF(OR(ISNUMBER(#REF!),ISNUMBER(#REF!),ISNUMBER(#REF!)),SUM(#REF!,#REF!,#REF!),"")</f>
        <v/>
      </c>
      <c r="S243" s="294"/>
      <c r="T243" s="294"/>
      <c r="U243" s="294"/>
      <c r="V243" s="294"/>
      <c r="W243" s="294"/>
      <c r="X243" s="294"/>
      <c r="Y243" s="294"/>
      <c r="Z243" s="294"/>
      <c r="AA243" s="294"/>
      <c r="AB243" s="294"/>
      <c r="AC243" s="294"/>
      <c r="AD243" s="294"/>
      <c r="AE243" s="294"/>
      <c r="AF243" s="294"/>
      <c r="AG243" s="294"/>
      <c r="AH243" s="294"/>
      <c r="AI243" s="294"/>
      <c r="AJ243" s="294"/>
      <c r="AK243" s="294"/>
      <c r="AL243" s="294"/>
      <c r="AM243" s="294"/>
      <c r="AN243" s="295"/>
      <c r="AO243" s="295"/>
      <c r="AP243" s="295"/>
      <c r="AQ243" s="295"/>
      <c r="AR243" s="295"/>
      <c r="AS243" s="295"/>
      <c r="AT243" s="295"/>
      <c r="AU243" s="295"/>
      <c r="AV243" s="295"/>
      <c r="AW243" s="295"/>
      <c r="AX243" s="295"/>
      <c r="AY243" s="295"/>
      <c r="AZ243" s="295"/>
      <c r="BA243" s="295"/>
      <c r="BB243" s="295"/>
      <c r="BC243" s="295"/>
      <c r="BD243" s="295"/>
      <c r="BE243" s="295"/>
    </row>
    <row r="244" spans="2:59" s="30" customFormat="1" ht="15.75" x14ac:dyDescent="0.2">
      <c r="B244" s="8"/>
      <c r="C244" s="33"/>
      <c r="D244" s="81"/>
      <c r="G244" s="33"/>
      <c r="H244" s="81"/>
      <c r="K244" s="33"/>
      <c r="L244" s="33"/>
      <c r="M244" s="81"/>
      <c r="N244" s="81"/>
      <c r="O244" s="81"/>
      <c r="Q244" s="34"/>
      <c r="R244" s="102"/>
      <c r="S244" s="43"/>
      <c r="T244" s="43"/>
      <c r="U244" s="43"/>
      <c r="V244" s="43"/>
      <c r="W244" s="43"/>
      <c r="X244" s="43"/>
      <c r="Y244" s="43"/>
      <c r="Z244" s="43"/>
      <c r="AA244" s="43"/>
      <c r="AB244" s="43"/>
      <c r="AC244" s="43"/>
      <c r="AD244" s="43"/>
      <c r="AE244" s="43"/>
      <c r="AF244" s="43"/>
      <c r="AG244" s="43"/>
      <c r="AH244" s="43"/>
      <c r="AI244" s="43"/>
      <c r="AJ244" s="43"/>
      <c r="AK244" s="35"/>
      <c r="AL244" s="35"/>
      <c r="AM244" s="35"/>
      <c r="AN244" s="36"/>
      <c r="AO244" s="36"/>
      <c r="AP244" s="36"/>
      <c r="AQ244" s="36"/>
      <c r="AR244" s="36"/>
      <c r="AS244" s="36"/>
      <c r="AT244" s="36"/>
      <c r="AU244" s="36"/>
      <c r="AV244" s="36"/>
      <c r="AW244" s="36"/>
      <c r="AX244" s="36"/>
      <c r="AY244" s="36"/>
      <c r="AZ244" s="36"/>
      <c r="BA244" s="36"/>
      <c r="BB244" s="36"/>
      <c r="BC244" s="36"/>
      <c r="BD244" s="36"/>
      <c r="BE244" s="36"/>
    </row>
    <row r="245" spans="2:59" s="30" customFormat="1" ht="15" x14ac:dyDescent="0.2">
      <c r="B245" s="151" t="s">
        <v>441</v>
      </c>
      <c r="C245" s="33"/>
      <c r="D245" s="81"/>
      <c r="G245" s="33"/>
      <c r="H245" s="81"/>
      <c r="K245" s="37" t="s">
        <v>297</v>
      </c>
      <c r="L245" s="37" t="s">
        <v>185</v>
      </c>
      <c r="M245" s="81"/>
      <c r="N245" s="81"/>
      <c r="O245" s="249" t="s">
        <v>584</v>
      </c>
      <c r="Q245" s="34"/>
      <c r="R245" s="43" t="s">
        <v>318</v>
      </c>
      <c r="S245" s="43"/>
      <c r="T245" s="43" t="s">
        <v>246</v>
      </c>
      <c r="U245" s="220"/>
      <c r="V245" s="43"/>
      <c r="W245" s="43"/>
      <c r="X245" s="43"/>
      <c r="Y245" s="43"/>
      <c r="Z245" s="43"/>
      <c r="AA245" s="43"/>
      <c r="AB245" s="43"/>
      <c r="AC245" s="43"/>
      <c r="AD245" s="43"/>
      <c r="AE245" s="43"/>
      <c r="AF245" s="43"/>
      <c r="AG245" s="43"/>
      <c r="AH245" s="43"/>
      <c r="AI245" s="43"/>
      <c r="AJ245" s="43"/>
      <c r="AK245" s="35"/>
      <c r="AL245" s="35"/>
      <c r="AM245" s="35"/>
      <c r="AN245" s="36"/>
      <c r="AO245" s="36"/>
      <c r="AP245" s="36"/>
      <c r="AQ245" s="36"/>
      <c r="AR245" s="36"/>
      <c r="AS245" s="36"/>
      <c r="AT245" s="36"/>
      <c r="AU245" s="36"/>
      <c r="AV245" s="36"/>
      <c r="AW245" s="36"/>
      <c r="AX245" s="36"/>
      <c r="AY245" s="36"/>
      <c r="AZ245" s="36"/>
      <c r="BA245" s="36"/>
      <c r="BB245" s="36"/>
      <c r="BC245" s="36"/>
      <c r="BD245" s="36"/>
      <c r="BE245" s="36"/>
    </row>
    <row r="246" spans="2:59" s="30" customFormat="1" ht="15" x14ac:dyDescent="0.2">
      <c r="B246" s="52" t="s">
        <v>461</v>
      </c>
      <c r="C246" s="471" t="s">
        <v>300</v>
      </c>
      <c r="D246" s="472"/>
      <c r="E246" s="472"/>
      <c r="F246" s="472"/>
      <c r="G246" s="473"/>
      <c r="H246" s="81"/>
      <c r="J246" s="32" t="s">
        <v>424</v>
      </c>
      <c r="K246" s="92" t="str">
        <f>IFERROR(IF(ISNUMBER(L246),L246,(VLOOKUP(C246,Kalusto!$C$5:$E$42,3,FALSE))*(VLOOKUP(C247,Muut!$D$40:$E$43,2,FALSE))),"--")</f>
        <v>--</v>
      </c>
      <c r="L246" s="39"/>
      <c r="M246" s="40" t="s">
        <v>189</v>
      </c>
      <c r="N246" s="40"/>
      <c r="O246" s="250"/>
      <c r="Q246" s="34"/>
      <c r="R246" s="213" t="str">
        <f>IF(ISNUMBER(K246*T246),K246*T246,"")</f>
        <v/>
      </c>
      <c r="S246" s="226" t="s">
        <v>160</v>
      </c>
      <c r="T246" s="213" t="str">
        <f>IF(ISNUMBER(C248),C248,"")</f>
        <v/>
      </c>
      <c r="U246" s="220"/>
      <c r="V246" s="216"/>
      <c r="W246" s="43"/>
      <c r="X246" s="43"/>
      <c r="Y246" s="43"/>
      <c r="Z246" s="43"/>
      <c r="AA246" s="43"/>
      <c r="AB246" s="43"/>
      <c r="AC246" s="43"/>
      <c r="AD246" s="43"/>
      <c r="AE246" s="43"/>
      <c r="AF246" s="43"/>
      <c r="AG246" s="43"/>
      <c r="AH246" s="43"/>
      <c r="AI246" s="43"/>
      <c r="AJ246" s="43"/>
      <c r="AK246" s="35"/>
      <c r="AL246" s="35"/>
      <c r="AM246" s="35"/>
      <c r="AN246" s="36"/>
      <c r="AO246" s="36"/>
      <c r="AP246" s="36"/>
      <c r="AQ246" s="36"/>
      <c r="AR246" s="36"/>
      <c r="AS246" s="36"/>
      <c r="AT246" s="36"/>
      <c r="AU246" s="36"/>
      <c r="AV246" s="36"/>
      <c r="AW246" s="36"/>
      <c r="AX246" s="36"/>
      <c r="AY246" s="36"/>
      <c r="AZ246" s="36"/>
      <c r="BA246" s="36"/>
      <c r="BB246" s="36"/>
      <c r="BC246" s="36"/>
      <c r="BD246" s="36"/>
      <c r="BE246" s="36"/>
    </row>
    <row r="247" spans="2:59" s="30" customFormat="1" ht="15" x14ac:dyDescent="0.2">
      <c r="B247" s="166" t="s">
        <v>460</v>
      </c>
      <c r="C247" s="156" t="s">
        <v>309</v>
      </c>
      <c r="D247" s="33"/>
      <c r="E247" s="33"/>
      <c r="F247" s="33"/>
      <c r="G247" s="33"/>
      <c r="H247" s="57"/>
      <c r="J247" s="169"/>
      <c r="K247" s="169"/>
      <c r="L247" s="169"/>
      <c r="M247" s="40"/>
      <c r="N247" s="40"/>
      <c r="O247" s="259"/>
      <c r="Q247" s="45"/>
      <c r="R247" s="216"/>
      <c r="S247" s="226"/>
      <c r="T247" s="43"/>
      <c r="U247" s="43"/>
      <c r="V247" s="215"/>
      <c r="W247" s="215"/>
      <c r="X247" s="216"/>
      <c r="Y247" s="43"/>
      <c r="Z247" s="216"/>
      <c r="AA247" s="217"/>
      <c r="AB247" s="216"/>
      <c r="AC247" s="216"/>
      <c r="AD247" s="216"/>
      <c r="AE247" s="216"/>
      <c r="AF247" s="217"/>
      <c r="AG247" s="216"/>
      <c r="AH247" s="43"/>
      <c r="AI247" s="43"/>
      <c r="AJ247" s="43"/>
      <c r="AK247" s="104"/>
      <c r="AL247" s="35"/>
      <c r="AM247" s="35"/>
      <c r="AN247" s="36"/>
      <c r="AO247" s="36"/>
      <c r="AP247" s="36"/>
      <c r="AQ247" s="36"/>
      <c r="AR247" s="36"/>
      <c r="AS247" s="36"/>
      <c r="AT247" s="36"/>
      <c r="AU247" s="36"/>
      <c r="AV247" s="36"/>
      <c r="AW247" s="36"/>
      <c r="AX247" s="36"/>
      <c r="AY247" s="36"/>
      <c r="AZ247" s="36"/>
      <c r="BA247" s="36"/>
      <c r="BB247" s="36"/>
      <c r="BC247" s="36"/>
      <c r="BD247" s="36"/>
      <c r="BE247" s="36"/>
    </row>
    <row r="248" spans="2:59" s="30" customFormat="1" ht="15" x14ac:dyDescent="0.2">
      <c r="B248" s="52" t="s">
        <v>427</v>
      </c>
      <c r="C248" s="189"/>
      <c r="D248" s="81" t="s">
        <v>51</v>
      </c>
      <c r="G248" s="33"/>
      <c r="H248" s="81"/>
      <c r="J248" s="32"/>
      <c r="K248" s="33"/>
      <c r="L248" s="33"/>
      <c r="M248" s="81"/>
      <c r="N248" s="81"/>
      <c r="O248" s="96"/>
      <c r="Q248" s="34"/>
      <c r="R248" s="43"/>
      <c r="S248" s="43"/>
      <c r="T248" s="43"/>
      <c r="U248" s="220"/>
      <c r="V248" s="43"/>
      <c r="W248" s="43"/>
      <c r="X248" s="43"/>
      <c r="Y248" s="43"/>
      <c r="Z248" s="43"/>
      <c r="AA248" s="43"/>
      <c r="AB248" s="43"/>
      <c r="AC248" s="43"/>
      <c r="AD248" s="43"/>
      <c r="AE248" s="43"/>
      <c r="AF248" s="43"/>
      <c r="AG248" s="43"/>
      <c r="AH248" s="43"/>
      <c r="AI248" s="43"/>
      <c r="AJ248" s="43"/>
      <c r="AK248" s="35"/>
      <c r="AL248" s="35"/>
      <c r="AM248" s="35"/>
      <c r="AN248" s="36"/>
      <c r="AO248" s="36"/>
      <c r="AP248" s="36"/>
      <c r="AQ248" s="36"/>
      <c r="AR248" s="36"/>
      <c r="AS248" s="36"/>
      <c r="AT248" s="36"/>
      <c r="AU248" s="36"/>
      <c r="AV248" s="36"/>
      <c r="AW248" s="36"/>
      <c r="AX248" s="36"/>
      <c r="AY248" s="36"/>
      <c r="AZ248" s="36"/>
      <c r="BA248" s="36"/>
      <c r="BB248" s="36"/>
      <c r="BC248" s="36"/>
      <c r="BD248" s="36"/>
      <c r="BE248" s="36"/>
    </row>
    <row r="249" spans="2:59" s="30" customFormat="1" ht="15" x14ac:dyDescent="0.2">
      <c r="B249" s="151" t="s">
        <v>442</v>
      </c>
      <c r="C249" s="33"/>
      <c r="D249" s="81"/>
      <c r="G249" s="33"/>
      <c r="H249" s="81"/>
      <c r="J249" s="32"/>
      <c r="K249" s="37" t="s">
        <v>297</v>
      </c>
      <c r="L249" s="37" t="s">
        <v>185</v>
      </c>
      <c r="M249" s="81"/>
      <c r="N249" s="81"/>
      <c r="O249" s="96"/>
      <c r="Q249" s="34"/>
      <c r="R249" s="43" t="s">
        <v>318</v>
      </c>
      <c r="S249" s="43"/>
      <c r="T249" s="43" t="s">
        <v>246</v>
      </c>
      <c r="U249" s="220"/>
      <c r="V249" s="43"/>
      <c r="W249" s="43"/>
      <c r="X249" s="43"/>
      <c r="Y249" s="43"/>
      <c r="Z249" s="43"/>
      <c r="AA249" s="43"/>
      <c r="AB249" s="43"/>
      <c r="AC249" s="43"/>
      <c r="AD249" s="43"/>
      <c r="AE249" s="43"/>
      <c r="AF249" s="43"/>
      <c r="AG249" s="43"/>
      <c r="AH249" s="43"/>
      <c r="AI249" s="43"/>
      <c r="AJ249" s="43"/>
      <c r="AK249" s="35"/>
      <c r="AL249" s="35"/>
      <c r="AM249" s="35"/>
      <c r="AN249" s="36"/>
      <c r="AO249" s="36"/>
      <c r="AP249" s="36"/>
      <c r="AQ249" s="36"/>
      <c r="AR249" s="36"/>
      <c r="AS249" s="36"/>
      <c r="AT249" s="36"/>
      <c r="AU249" s="36"/>
      <c r="AV249" s="36"/>
      <c r="AW249" s="36"/>
      <c r="AX249" s="36"/>
      <c r="AY249" s="36"/>
      <c r="AZ249" s="36"/>
      <c r="BA249" s="36"/>
      <c r="BB249" s="36"/>
      <c r="BC249" s="36"/>
      <c r="BD249" s="36"/>
      <c r="BE249" s="36"/>
    </row>
    <row r="250" spans="2:59" s="30" customFormat="1" ht="15" x14ac:dyDescent="0.2">
      <c r="B250" s="52" t="s">
        <v>461</v>
      </c>
      <c r="C250" s="471" t="s">
        <v>300</v>
      </c>
      <c r="D250" s="472"/>
      <c r="E250" s="472"/>
      <c r="F250" s="472"/>
      <c r="G250" s="473"/>
      <c r="H250" s="81"/>
      <c r="J250" s="32" t="s">
        <v>424</v>
      </c>
      <c r="K250" s="92" t="str">
        <f>IFERROR(IF(ISNUMBER(L250),L250,(VLOOKUP(C250,Kalusto!$C$5:$E$42,3,FALSE))*(VLOOKUP(C251,Muut!$D$40:$E$43,2,FALSE))),"--")</f>
        <v>--</v>
      </c>
      <c r="L250" s="39"/>
      <c r="M250" s="40" t="s">
        <v>189</v>
      </c>
      <c r="N250" s="40"/>
      <c r="O250" s="259"/>
      <c r="Q250" s="34"/>
      <c r="R250" s="213" t="str">
        <f>IF(ISNUMBER(K250*T250),K250*T250,"")</f>
        <v/>
      </c>
      <c r="S250" s="226" t="s">
        <v>160</v>
      </c>
      <c r="T250" s="213" t="str">
        <f>IF(ISNUMBER(C252),C252,"")</f>
        <v/>
      </c>
      <c r="U250" s="220"/>
      <c r="V250" s="216"/>
      <c r="W250" s="43"/>
      <c r="X250" s="43"/>
      <c r="Y250" s="43"/>
      <c r="Z250" s="43"/>
      <c r="AA250" s="43"/>
      <c r="AB250" s="43"/>
      <c r="AC250" s="43"/>
      <c r="AD250" s="43"/>
      <c r="AE250" s="43"/>
      <c r="AF250" s="43"/>
      <c r="AG250" s="43"/>
      <c r="AH250" s="43"/>
      <c r="AI250" s="43"/>
      <c r="AJ250" s="43"/>
      <c r="AK250" s="35"/>
      <c r="AL250" s="35"/>
      <c r="AM250" s="35"/>
      <c r="AN250" s="36"/>
      <c r="AO250" s="36"/>
      <c r="AP250" s="36"/>
      <c r="AQ250" s="36"/>
      <c r="AR250" s="36"/>
      <c r="AS250" s="36"/>
      <c r="AT250" s="36"/>
      <c r="AU250" s="36"/>
      <c r="AV250" s="36"/>
      <c r="AW250" s="36"/>
      <c r="AX250" s="36"/>
      <c r="AY250" s="36"/>
      <c r="AZ250" s="36"/>
      <c r="BA250" s="36"/>
      <c r="BB250" s="36"/>
      <c r="BC250" s="36"/>
      <c r="BD250" s="36"/>
      <c r="BE250" s="36"/>
    </row>
    <row r="251" spans="2:59" s="30" customFormat="1" ht="15" x14ac:dyDescent="0.2">
      <c r="B251" s="166" t="s">
        <v>460</v>
      </c>
      <c r="C251" s="156" t="s">
        <v>309</v>
      </c>
      <c r="D251" s="33"/>
      <c r="E251" s="33"/>
      <c r="F251" s="33"/>
      <c r="G251" s="33"/>
      <c r="H251" s="57"/>
      <c r="J251" s="169"/>
      <c r="K251" s="169"/>
      <c r="L251" s="169"/>
      <c r="M251" s="40"/>
      <c r="N251" s="40"/>
      <c r="O251" s="259"/>
      <c r="Q251" s="45"/>
      <c r="R251" s="216"/>
      <c r="S251" s="226"/>
      <c r="T251" s="43"/>
      <c r="U251" s="43"/>
      <c r="V251" s="215"/>
      <c r="W251" s="215"/>
      <c r="X251" s="216"/>
      <c r="Y251" s="43"/>
      <c r="Z251" s="216"/>
      <c r="AA251" s="217"/>
      <c r="AB251" s="216"/>
      <c r="AC251" s="216"/>
      <c r="AD251" s="216"/>
      <c r="AE251" s="216"/>
      <c r="AF251" s="217"/>
      <c r="AG251" s="216"/>
      <c r="AH251" s="43"/>
      <c r="AI251" s="43"/>
      <c r="AJ251" s="43"/>
      <c r="AK251" s="104"/>
      <c r="AL251" s="35"/>
      <c r="AM251" s="35"/>
      <c r="AN251" s="36"/>
      <c r="AO251" s="36"/>
      <c r="AP251" s="36"/>
      <c r="AQ251" s="36"/>
      <c r="AR251" s="36"/>
      <c r="AS251" s="36"/>
      <c r="AT251" s="36"/>
      <c r="AU251" s="36"/>
      <c r="AV251" s="36"/>
      <c r="AW251" s="36"/>
      <c r="AX251" s="36"/>
      <c r="AY251" s="36"/>
      <c r="AZ251" s="36"/>
      <c r="BA251" s="36"/>
      <c r="BB251" s="36"/>
      <c r="BC251" s="36"/>
      <c r="BD251" s="36"/>
      <c r="BE251" s="36"/>
    </row>
    <row r="252" spans="2:59" s="30" customFormat="1" ht="15" x14ac:dyDescent="0.2">
      <c r="B252" s="52" t="s">
        <v>427</v>
      </c>
      <c r="C252" s="189"/>
      <c r="D252" s="81" t="s">
        <v>51</v>
      </c>
      <c r="G252" s="33"/>
      <c r="H252" s="81"/>
      <c r="J252" s="32"/>
      <c r="K252" s="33"/>
      <c r="L252" s="33"/>
      <c r="M252" s="81"/>
      <c r="N252" s="81"/>
      <c r="O252" s="96"/>
      <c r="Q252" s="34"/>
      <c r="R252" s="43"/>
      <c r="S252" s="43"/>
      <c r="T252" s="43"/>
      <c r="U252" s="220"/>
      <c r="V252" s="43"/>
      <c r="W252" s="43"/>
      <c r="X252" s="43"/>
      <c r="Y252" s="43"/>
      <c r="Z252" s="43"/>
      <c r="AA252" s="43"/>
      <c r="AB252" s="43"/>
      <c r="AC252" s="43"/>
      <c r="AD252" s="43"/>
      <c r="AE252" s="43"/>
      <c r="AF252" s="43"/>
      <c r="AG252" s="43"/>
      <c r="AH252" s="43"/>
      <c r="AI252" s="43"/>
      <c r="AJ252" s="43"/>
      <c r="AK252" s="35"/>
      <c r="AL252" s="35"/>
      <c r="AM252" s="35"/>
      <c r="AN252" s="36"/>
      <c r="AO252" s="36"/>
      <c r="AP252" s="36"/>
      <c r="AQ252" s="36"/>
      <c r="AR252" s="36"/>
      <c r="AS252" s="36"/>
      <c r="AT252" s="36"/>
      <c r="AU252" s="36"/>
      <c r="AV252" s="36"/>
      <c r="AW252" s="36"/>
      <c r="AX252" s="36"/>
      <c r="AY252" s="36"/>
      <c r="AZ252" s="36"/>
      <c r="BA252" s="36"/>
      <c r="BB252" s="36"/>
      <c r="BC252" s="36"/>
      <c r="BD252" s="36"/>
      <c r="BE252" s="36"/>
    </row>
    <row r="253" spans="2:59" s="30" customFormat="1" ht="15" x14ac:dyDescent="0.2">
      <c r="B253" s="151" t="s">
        <v>443</v>
      </c>
      <c r="C253" s="33"/>
      <c r="D253" s="81"/>
      <c r="G253" s="33"/>
      <c r="H253" s="81"/>
      <c r="J253" s="32"/>
      <c r="K253" s="37" t="s">
        <v>297</v>
      </c>
      <c r="L253" s="37" t="s">
        <v>185</v>
      </c>
      <c r="M253" s="81"/>
      <c r="N253" s="81"/>
      <c r="O253" s="96"/>
      <c r="Q253" s="34"/>
      <c r="R253" s="43" t="s">
        <v>318</v>
      </c>
      <c r="S253" s="43"/>
      <c r="T253" s="43" t="s">
        <v>246</v>
      </c>
      <c r="U253" s="220"/>
      <c r="V253" s="43"/>
      <c r="W253" s="43"/>
      <c r="X253" s="43"/>
      <c r="Y253" s="43"/>
      <c r="Z253" s="43"/>
      <c r="AA253" s="43"/>
      <c r="AB253" s="43"/>
      <c r="AC253" s="43"/>
      <c r="AD253" s="43"/>
      <c r="AE253" s="43"/>
      <c r="AF253" s="43"/>
      <c r="AG253" s="43"/>
      <c r="AH253" s="43"/>
      <c r="AI253" s="43"/>
      <c r="AJ253" s="43"/>
      <c r="AK253" s="35"/>
      <c r="AL253" s="35"/>
      <c r="AM253" s="35"/>
      <c r="AN253" s="36"/>
      <c r="AO253" s="36"/>
      <c r="AP253" s="36"/>
      <c r="AQ253" s="36"/>
      <c r="AR253" s="36"/>
      <c r="AS253" s="36"/>
      <c r="AT253" s="36"/>
      <c r="AU253" s="36"/>
      <c r="AV253" s="36"/>
      <c r="AW253" s="36"/>
      <c r="AX253" s="36"/>
      <c r="AY253" s="36"/>
      <c r="AZ253" s="36"/>
      <c r="BA253" s="36"/>
      <c r="BB253" s="36"/>
      <c r="BC253" s="36"/>
      <c r="BD253" s="36"/>
      <c r="BE253" s="36"/>
    </row>
    <row r="254" spans="2:59" s="30" customFormat="1" ht="15" x14ac:dyDescent="0.2">
      <c r="B254" s="52" t="s">
        <v>461</v>
      </c>
      <c r="C254" s="471" t="s">
        <v>300</v>
      </c>
      <c r="D254" s="472"/>
      <c r="E254" s="472"/>
      <c r="F254" s="472"/>
      <c r="G254" s="473"/>
      <c r="H254" s="81"/>
      <c r="J254" s="32" t="s">
        <v>424</v>
      </c>
      <c r="K254" s="92" t="str">
        <f>IFERROR(IF(ISNUMBER(L254),L254,(VLOOKUP(C254,Kalusto!$C$5:$E$42,3,FALSE))*(VLOOKUP(C255,Muut!$D$40:$E$43,2,FALSE))),"--")</f>
        <v>--</v>
      </c>
      <c r="L254" s="39"/>
      <c r="M254" s="40" t="s">
        <v>189</v>
      </c>
      <c r="N254" s="40"/>
      <c r="O254" s="259"/>
      <c r="Q254" s="34"/>
      <c r="R254" s="213" t="str">
        <f>IF(ISNUMBER(K254*T254),K254*T254,"")</f>
        <v/>
      </c>
      <c r="S254" s="226" t="s">
        <v>160</v>
      </c>
      <c r="T254" s="213" t="str">
        <f>IF(ISNUMBER(C256),C256,"")</f>
        <v/>
      </c>
      <c r="U254" s="220"/>
      <c r="V254" s="216"/>
      <c r="W254" s="43"/>
      <c r="X254" s="43"/>
      <c r="Y254" s="43"/>
      <c r="Z254" s="43"/>
      <c r="AA254" s="43"/>
      <c r="AB254" s="43"/>
      <c r="AC254" s="43"/>
      <c r="AD254" s="43"/>
      <c r="AE254" s="43"/>
      <c r="AF254" s="43"/>
      <c r="AG254" s="43"/>
      <c r="AH254" s="43"/>
      <c r="AI254" s="43"/>
      <c r="AJ254" s="43"/>
      <c r="AK254" s="35"/>
      <c r="AL254" s="35"/>
      <c r="AM254" s="35"/>
      <c r="AN254" s="36"/>
      <c r="AO254" s="36"/>
      <c r="AP254" s="36"/>
      <c r="AQ254" s="36"/>
      <c r="AR254" s="36"/>
      <c r="AS254" s="36"/>
      <c r="AT254" s="36"/>
      <c r="AU254" s="36"/>
      <c r="AV254" s="36"/>
      <c r="AW254" s="36"/>
      <c r="AX254" s="36"/>
      <c r="AY254" s="36"/>
      <c r="AZ254" s="36"/>
      <c r="BA254" s="36"/>
      <c r="BB254" s="36"/>
      <c r="BC254" s="36"/>
      <c r="BD254" s="36"/>
      <c r="BE254" s="36"/>
    </row>
    <row r="255" spans="2:59" s="30" customFormat="1" ht="15" x14ac:dyDescent="0.2">
      <c r="B255" s="166" t="s">
        <v>460</v>
      </c>
      <c r="C255" s="156" t="s">
        <v>309</v>
      </c>
      <c r="D255" s="33"/>
      <c r="E255" s="33"/>
      <c r="F255" s="33"/>
      <c r="G255" s="33"/>
      <c r="H255" s="57"/>
      <c r="J255" s="169"/>
      <c r="K255" s="169"/>
      <c r="L255" s="169"/>
      <c r="M255" s="40"/>
      <c r="N255" s="40"/>
      <c r="O255" s="259"/>
      <c r="Q255" s="45"/>
      <c r="R255" s="216"/>
      <c r="S255" s="226"/>
      <c r="T255" s="43"/>
      <c r="U255" s="43"/>
      <c r="V255" s="215"/>
      <c r="W255" s="215"/>
      <c r="X255" s="216"/>
      <c r="Y255" s="43"/>
      <c r="Z255" s="216"/>
      <c r="AA255" s="217"/>
      <c r="AB255" s="216"/>
      <c r="AC255" s="216"/>
      <c r="AD255" s="216"/>
      <c r="AE255" s="216"/>
      <c r="AF255" s="217"/>
      <c r="AG255" s="216"/>
      <c r="AH255" s="43"/>
      <c r="AI255" s="43"/>
      <c r="AJ255" s="43"/>
      <c r="AK255" s="104"/>
      <c r="AL255" s="35"/>
      <c r="AM255" s="35"/>
      <c r="AN255" s="36"/>
      <c r="AO255" s="36"/>
      <c r="AP255" s="36"/>
      <c r="AQ255" s="36"/>
      <c r="AR255" s="36"/>
      <c r="AS255" s="36"/>
      <c r="AT255" s="36"/>
      <c r="AU255" s="36"/>
      <c r="AV255" s="36"/>
      <c r="AW255" s="36"/>
      <c r="AX255" s="36"/>
      <c r="AY255" s="36"/>
      <c r="AZ255" s="36"/>
      <c r="BA255" s="36"/>
      <c r="BB255" s="36"/>
      <c r="BC255" s="36"/>
      <c r="BD255" s="36"/>
      <c r="BE255" s="36"/>
    </row>
    <row r="256" spans="2:59" s="30" customFormat="1" ht="15" x14ac:dyDescent="0.2">
      <c r="B256" s="52" t="s">
        <v>427</v>
      </c>
      <c r="C256" s="189"/>
      <c r="D256" s="81" t="s">
        <v>51</v>
      </c>
      <c r="G256" s="33"/>
      <c r="H256" s="81"/>
      <c r="J256" s="32"/>
      <c r="K256" s="33"/>
      <c r="L256" s="33"/>
      <c r="M256" s="81"/>
      <c r="N256" s="81"/>
      <c r="O256" s="96"/>
      <c r="Q256" s="34"/>
      <c r="R256" s="102"/>
      <c r="S256" s="43"/>
      <c r="T256" s="43"/>
      <c r="U256" s="43"/>
      <c r="V256" s="43"/>
      <c r="W256" s="43"/>
      <c r="X256" s="43"/>
      <c r="Y256" s="43"/>
      <c r="Z256" s="43"/>
      <c r="AA256" s="43"/>
      <c r="AB256" s="43"/>
      <c r="AC256" s="43"/>
      <c r="AD256" s="43"/>
      <c r="AE256" s="43"/>
      <c r="AF256" s="43"/>
      <c r="AG256" s="43"/>
      <c r="AH256" s="43"/>
      <c r="AI256" s="43"/>
      <c r="AJ256" s="43"/>
      <c r="AK256" s="35"/>
      <c r="AL256" s="35"/>
      <c r="AM256" s="35"/>
      <c r="AN256" s="36"/>
      <c r="AO256" s="36"/>
      <c r="AP256" s="36"/>
      <c r="AQ256" s="36"/>
      <c r="AR256" s="36"/>
      <c r="AS256" s="36"/>
      <c r="AT256" s="36"/>
      <c r="AU256" s="36"/>
      <c r="AV256" s="36"/>
      <c r="AW256" s="36"/>
      <c r="AX256" s="36"/>
      <c r="AY256" s="36"/>
      <c r="AZ256" s="36"/>
      <c r="BA256" s="36"/>
      <c r="BB256" s="36"/>
      <c r="BC256" s="36"/>
      <c r="BD256" s="36"/>
      <c r="BE256" s="36"/>
    </row>
    <row r="257" spans="2:57" s="30" customFormat="1" ht="15" x14ac:dyDescent="0.2">
      <c r="C257" s="33"/>
      <c r="D257" s="81"/>
      <c r="G257" s="33"/>
      <c r="H257" s="81"/>
      <c r="K257" s="33"/>
      <c r="L257" s="33"/>
      <c r="M257" s="81"/>
      <c r="N257" s="81"/>
      <c r="O257" s="81"/>
      <c r="Q257" s="34"/>
      <c r="R257" s="102"/>
      <c r="S257" s="43"/>
      <c r="T257" s="43"/>
      <c r="U257" s="43"/>
      <c r="V257" s="43"/>
      <c r="W257" s="43"/>
      <c r="X257" s="43"/>
      <c r="Y257" s="43"/>
      <c r="Z257" s="43"/>
      <c r="AA257" s="43"/>
      <c r="AB257" s="43"/>
      <c r="AC257" s="43"/>
      <c r="AD257" s="43"/>
      <c r="AE257" s="43"/>
      <c r="AF257" s="43"/>
      <c r="AG257" s="43"/>
      <c r="AH257" s="43"/>
      <c r="AI257" s="43"/>
      <c r="AJ257" s="43"/>
      <c r="AK257" s="35"/>
      <c r="AL257" s="35"/>
      <c r="AM257" s="35"/>
      <c r="AN257" s="36"/>
      <c r="AO257" s="36"/>
      <c r="AP257" s="36"/>
      <c r="AQ257" s="36"/>
      <c r="AR257" s="36"/>
      <c r="AS257" s="36"/>
      <c r="AT257" s="36"/>
      <c r="AU257" s="36"/>
      <c r="AV257" s="36"/>
      <c r="AW257" s="36"/>
      <c r="AX257" s="36"/>
      <c r="AY257" s="36"/>
      <c r="AZ257" s="36"/>
      <c r="BA257" s="36"/>
      <c r="BB257" s="36"/>
      <c r="BC257" s="36"/>
      <c r="BD257" s="36"/>
      <c r="BE257" s="36"/>
    </row>
    <row r="258" spans="2:57" s="289" customFormat="1" ht="18" x14ac:dyDescent="0.2">
      <c r="B258" s="286" t="s">
        <v>676</v>
      </c>
      <c r="C258" s="287"/>
      <c r="D258" s="288"/>
      <c r="G258" s="287"/>
      <c r="H258" s="288"/>
      <c r="K258" s="287"/>
      <c r="L258" s="287"/>
      <c r="M258" s="288"/>
      <c r="N258" s="288"/>
      <c r="O258" s="291"/>
      <c r="P258" s="311"/>
      <c r="Q258" s="295"/>
      <c r="R258" s="289" t="str">
        <f>IF(OR(ISNUMBER(#REF!),ISNUMBER(#REF!),ISNUMBER(#REF!),ISNUMBER(#REF!),ISNUMBER(#REF!)),SUM(#REF!,#REF!,#REF!,#REF!,#REF!),"")</f>
        <v/>
      </c>
      <c r="S258" s="294"/>
      <c r="T258" s="294"/>
      <c r="U258" s="294"/>
      <c r="V258" s="294"/>
      <c r="W258" s="294"/>
      <c r="X258" s="294"/>
      <c r="Y258" s="294"/>
      <c r="Z258" s="294"/>
      <c r="AA258" s="294"/>
      <c r="AB258" s="294"/>
      <c r="AC258" s="294"/>
      <c r="AD258" s="294"/>
      <c r="AE258" s="294"/>
      <c r="AF258" s="294"/>
      <c r="AG258" s="294"/>
      <c r="AH258" s="294"/>
      <c r="AI258" s="294"/>
      <c r="AJ258" s="294"/>
      <c r="AK258" s="294"/>
      <c r="AL258" s="294"/>
      <c r="AM258" s="294"/>
      <c r="AN258" s="295"/>
      <c r="AO258" s="295"/>
      <c r="AP258" s="295"/>
      <c r="AQ258" s="295"/>
      <c r="AR258" s="295"/>
      <c r="AS258" s="295"/>
      <c r="AT258" s="295"/>
      <c r="AU258" s="295"/>
      <c r="AV258" s="295"/>
      <c r="AW258" s="295"/>
      <c r="AX258" s="295"/>
      <c r="AY258" s="295"/>
      <c r="AZ258" s="295"/>
      <c r="BA258" s="295"/>
      <c r="BB258" s="295"/>
      <c r="BC258" s="295"/>
      <c r="BD258" s="295"/>
      <c r="BE258" s="295"/>
    </row>
    <row r="259" spans="2:57" s="30" customFormat="1" ht="15.75" x14ac:dyDescent="0.2">
      <c r="B259" s="8"/>
      <c r="C259" s="33"/>
      <c r="D259" s="81"/>
      <c r="E259" s="33"/>
      <c r="F259" s="33"/>
      <c r="G259" s="37"/>
      <c r="H259" s="81"/>
      <c r="J259" s="32"/>
      <c r="K259" s="37"/>
      <c r="L259" s="37"/>
      <c r="M259" s="83"/>
      <c r="N259" s="83"/>
      <c r="O259" s="83"/>
      <c r="P259" s="37"/>
      <c r="Q259" s="34"/>
      <c r="R259" s="102"/>
      <c r="S259" s="43"/>
      <c r="T259" s="43"/>
      <c r="U259" s="43"/>
      <c r="V259" s="43"/>
      <c r="W259" s="43"/>
      <c r="X259" s="43"/>
      <c r="Y259" s="43"/>
      <c r="Z259" s="43"/>
      <c r="AA259" s="43"/>
      <c r="AB259" s="43"/>
      <c r="AC259" s="43"/>
      <c r="AD259" s="43"/>
      <c r="AE259" s="43"/>
      <c r="AF259" s="43"/>
      <c r="AG259" s="43"/>
      <c r="AH259" s="43"/>
      <c r="AI259" s="43"/>
      <c r="AJ259" s="43"/>
      <c r="AK259" s="35"/>
      <c r="AL259" s="35"/>
      <c r="AM259" s="35"/>
      <c r="AN259" s="36"/>
      <c r="AO259" s="36"/>
      <c r="AP259" s="36"/>
      <c r="AQ259" s="36"/>
      <c r="AR259" s="36"/>
      <c r="AS259" s="36"/>
      <c r="AT259" s="36"/>
      <c r="AU259" s="36"/>
      <c r="AV259" s="36"/>
      <c r="AW259" s="36"/>
      <c r="AX259" s="36"/>
      <c r="AY259" s="36"/>
      <c r="AZ259" s="36"/>
      <c r="BA259" s="36"/>
      <c r="BB259" s="36"/>
      <c r="BC259" s="36"/>
      <c r="BD259" s="36"/>
      <c r="BE259" s="36"/>
    </row>
    <row r="260" spans="2:57" s="30" customFormat="1" ht="15" x14ac:dyDescent="0.2">
      <c r="B260" s="151" t="s">
        <v>0</v>
      </c>
      <c r="C260" s="33" t="s">
        <v>50</v>
      </c>
      <c r="D260" s="81"/>
      <c r="E260" s="33"/>
      <c r="F260" s="33"/>
      <c r="G260" s="37" t="s">
        <v>183</v>
      </c>
      <c r="H260" s="81"/>
      <c r="J260" s="32"/>
      <c r="K260" s="37" t="s">
        <v>297</v>
      </c>
      <c r="L260" s="37" t="s">
        <v>185</v>
      </c>
      <c r="M260" s="83"/>
      <c r="N260" s="83"/>
      <c r="O260" s="249" t="s">
        <v>584</v>
      </c>
      <c r="P260" s="37"/>
      <c r="Q260" s="34"/>
      <c r="R260" s="43" t="s">
        <v>318</v>
      </c>
      <c r="S260" s="43"/>
      <c r="T260" s="43" t="s">
        <v>400</v>
      </c>
      <c r="U260" s="43" t="s">
        <v>399</v>
      </c>
      <c r="V260" s="43" t="s">
        <v>397</v>
      </c>
      <c r="W260" s="43" t="s">
        <v>398</v>
      </c>
      <c r="X260" s="43" t="s">
        <v>401</v>
      </c>
      <c r="Y260" s="43" t="s">
        <v>403</v>
      </c>
      <c r="Z260" s="43" t="s">
        <v>402</v>
      </c>
      <c r="AA260" s="43" t="s">
        <v>186</v>
      </c>
      <c r="AB260" s="43" t="s">
        <v>345</v>
      </c>
      <c r="AC260" s="43" t="s">
        <v>404</v>
      </c>
      <c r="AD260" s="43" t="s">
        <v>346</v>
      </c>
      <c r="AE260" s="43" t="s">
        <v>405</v>
      </c>
      <c r="AF260" s="43" t="s">
        <v>406</v>
      </c>
      <c r="AG260" s="43" t="s">
        <v>578</v>
      </c>
      <c r="AH260" s="43" t="s">
        <v>190</v>
      </c>
      <c r="AI260" s="43" t="s">
        <v>249</v>
      </c>
      <c r="AJ260" s="43" t="s">
        <v>191</v>
      </c>
      <c r="AK260" s="104"/>
      <c r="AL260" s="35"/>
      <c r="AM260" s="35"/>
      <c r="AN260" s="36"/>
      <c r="AO260" s="36"/>
      <c r="AP260" s="36"/>
      <c r="AQ260" s="36"/>
      <c r="AR260" s="36"/>
      <c r="AS260" s="36"/>
      <c r="AT260" s="36"/>
      <c r="AU260" s="36"/>
      <c r="AV260" s="36"/>
      <c r="AW260" s="36"/>
      <c r="AX260" s="36"/>
      <c r="AY260" s="36"/>
      <c r="AZ260" s="36"/>
      <c r="BA260" s="36"/>
      <c r="BB260" s="36"/>
      <c r="BC260" s="36"/>
      <c r="BD260" s="36"/>
      <c r="BE260" s="36"/>
    </row>
    <row r="261" spans="2:57" s="30" customFormat="1" ht="30" x14ac:dyDescent="0.2">
      <c r="B261" s="166" t="s">
        <v>501</v>
      </c>
      <c r="C261" s="156"/>
      <c r="D261" s="86" t="s">
        <v>52</v>
      </c>
      <c r="E261" s="57"/>
      <c r="F261" s="55"/>
      <c r="G261" s="157"/>
      <c r="H261" s="81" t="str">
        <f>IF(D261="t","","t/m3")</f>
        <v/>
      </c>
      <c r="J261" s="169" t="s">
        <v>395</v>
      </c>
      <c r="K261" s="92" t="str">
        <f>IFERROR(IF(ISNUMBER(L261),L261,(VLOOKUP(C262,Kalusto!$C$45:$G$84,5,FALSE)*VLOOKUP(C263,Muut!$D$40:$E$43,2,FALSE))),"--")</f>
        <v>--</v>
      </c>
      <c r="L261" s="39"/>
      <c r="M261" s="40" t="s">
        <v>184</v>
      </c>
      <c r="N261" s="40"/>
      <c r="O261" s="250"/>
      <c r="Q261" s="45"/>
      <c r="R261" s="213" t="str">
        <f>IF(AND(NOT(ISNUMBER(AB261)),NOT(ISNUMBER(AG261))),"",IF(ISNUMBER(AB261),AB261,0)+IF(ISNUMBER(AG261),AG261,0))</f>
        <v/>
      </c>
      <c r="S261" s="226" t="s">
        <v>160</v>
      </c>
      <c r="T261" s="211" t="str">
        <f>IFERROR(IF(ISNUMBER(L261),"Kohdetieto",VLOOKUP(C262,Kalusto!$C$45:$L$84,7,FALSE)),"--")</f>
        <v>--</v>
      </c>
      <c r="U261" s="211" t="str">
        <f>IFERROR(IF(ISNUMBER(L261),"Kohdetieto",VLOOKUP(C262,Kalusto!$C$45:$L$84,8,FALSE)),"--")</f>
        <v>--</v>
      </c>
      <c r="V261" s="212" t="str">
        <f>IFERROR(IF(ISNUMBER(L261),"Kohdetieto",VLOOKUP(C262,Kalusto!$C$45:$L$84,9,FALSE)),"--")</f>
        <v>--</v>
      </c>
      <c r="W261" s="212" t="str">
        <f>IFERROR(IF(ISNUMBER(L261),"Kohdetieto",VLOOKUP(C262,Kalusto!$C$45:$L$84,10,FALSE)),"--")</f>
        <v>--</v>
      </c>
      <c r="X261" s="213" t="str">
        <f>IF(ISBLANK(C261),"",IF(D261="t",C261,C261*G261))</f>
        <v/>
      </c>
      <c r="Y261" s="211" t="str">
        <f>IF(ISNUMBER(C264),C264,"")</f>
        <v/>
      </c>
      <c r="Z261" s="213" t="str">
        <f>IF(ISNUMBER(X261/(U261*V261)*Y261),X261/(U261*V261)*Y261,"")</f>
        <v/>
      </c>
      <c r="AA261" s="214" t="str">
        <f>IF(ISNUMBER(L261),L261,K261)</f>
        <v>--</v>
      </c>
      <c r="AB261" s="213" t="str">
        <f>IF(ISNUMBER(Y261*X261*K261),Y261*X261*K261,"")</f>
        <v/>
      </c>
      <c r="AC261" s="213" t="str">
        <f>IF(ISNUMBER(Y261),Y261,"")</f>
        <v/>
      </c>
      <c r="AD261" s="213" t="str">
        <f>IF(ISNUMBER(X261),IF(ISNUMBER(X261/(U261*V261)),CEILING(X261/(U261*V261),1),""),"")</f>
        <v/>
      </c>
      <c r="AE261" s="213" t="str">
        <f>IF(ISNUMBER(AD261*AC261),AD261*AC261,"")</f>
        <v/>
      </c>
      <c r="AF261" s="214" t="str">
        <f>IF(ISNUMBER(L262),L262,K262)</f>
        <v>--</v>
      </c>
      <c r="AG261" s="213" t="str">
        <f>IF(ISNUMBER(AC261*AD261*K262),AC261*AD261*K262,"")</f>
        <v/>
      </c>
      <c r="AH261" s="211">
        <f>IF(T261="Jakelukuorma-auto",0,IF(T261="Maansiirtoauto",4,IF(T261="Puoliperävaunu",6,8)))</f>
        <v>8</v>
      </c>
      <c r="AI261" s="211">
        <f>IF(AND(T261="Jakelukuorma-auto",U261=6),0,IF(AND(T261="Jakelukuorma-auto",U261=15),2,0))</f>
        <v>0</v>
      </c>
      <c r="AJ261" s="211">
        <f>IF(W261="maantieajo",0,1)</f>
        <v>1</v>
      </c>
      <c r="AK261" s="104"/>
      <c r="AL261" s="35"/>
      <c r="AM261" s="35"/>
      <c r="AN261" s="36"/>
      <c r="AO261" s="36"/>
      <c r="AP261" s="36"/>
      <c r="AQ261" s="36"/>
      <c r="AR261" s="36"/>
      <c r="AS261" s="36"/>
      <c r="AT261" s="36"/>
      <c r="AU261" s="36"/>
      <c r="AV261" s="36"/>
      <c r="AW261" s="36"/>
      <c r="AX261" s="36"/>
      <c r="AY261" s="36"/>
      <c r="AZ261" s="36"/>
      <c r="BA261" s="36"/>
      <c r="BB261" s="36"/>
      <c r="BC261" s="36"/>
      <c r="BD261" s="36"/>
      <c r="BE261" s="36"/>
    </row>
    <row r="262" spans="2:57" s="30" customFormat="1" ht="30" x14ac:dyDescent="0.2">
      <c r="B262" s="166" t="s">
        <v>499</v>
      </c>
      <c r="C262" s="471" t="s">
        <v>298</v>
      </c>
      <c r="D262" s="472"/>
      <c r="E262" s="472"/>
      <c r="F262" s="472"/>
      <c r="G262" s="473"/>
      <c r="J262" s="32" t="s">
        <v>396</v>
      </c>
      <c r="K262" s="92" t="str">
        <f>IFERROR(IF(ISNUMBER(L262),L262,(VLOOKUP(C262,Kalusto!$C$45:$V$84,19,FALSE)*(VLOOKUP(C263,Muut!$D$40:$E$43,2,FALSE)))),"--")</f>
        <v>--</v>
      </c>
      <c r="L262" s="39"/>
      <c r="M262" s="40" t="s">
        <v>188</v>
      </c>
      <c r="N262" s="40"/>
      <c r="O262" s="259"/>
      <c r="P262" s="33"/>
      <c r="Q262" s="50"/>
      <c r="R262" s="43"/>
      <c r="S262" s="43"/>
      <c r="T262" s="43"/>
      <c r="U262" s="43"/>
      <c r="V262" s="43"/>
      <c r="W262" s="43"/>
      <c r="X262" s="43"/>
      <c r="Y262" s="43"/>
      <c r="Z262" s="43"/>
      <c r="AA262" s="43"/>
      <c r="AB262" s="43"/>
      <c r="AC262" s="43"/>
      <c r="AD262" s="43"/>
      <c r="AE262" s="43"/>
      <c r="AF262" s="43"/>
      <c r="AG262" s="43"/>
      <c r="AH262" s="43"/>
      <c r="AI262" s="43"/>
      <c r="AJ262" s="43"/>
      <c r="AK262" s="104"/>
      <c r="AL262" s="35"/>
      <c r="AM262" s="35"/>
      <c r="AN262" s="36"/>
      <c r="AO262" s="36"/>
      <c r="AP262" s="36"/>
      <c r="AQ262" s="36"/>
      <c r="AR262" s="36"/>
      <c r="AS262" s="36"/>
      <c r="AT262" s="36"/>
      <c r="AU262" s="36"/>
      <c r="AV262" s="36"/>
      <c r="AW262" s="36"/>
      <c r="AX262" s="36"/>
      <c r="AY262" s="36"/>
      <c r="AZ262" s="36"/>
      <c r="BA262" s="36"/>
      <c r="BB262" s="36"/>
      <c r="BC262" s="36"/>
      <c r="BD262" s="36"/>
      <c r="BE262" s="36"/>
    </row>
    <row r="263" spans="2:57" s="30" customFormat="1" ht="15" x14ac:dyDescent="0.2">
      <c r="B263" s="182" t="s">
        <v>457</v>
      </c>
      <c r="C263" s="156" t="s">
        <v>309</v>
      </c>
      <c r="D263" s="33"/>
      <c r="E263" s="33"/>
      <c r="F263" s="33"/>
      <c r="G263" s="33"/>
      <c r="H263" s="57"/>
      <c r="J263" s="169"/>
      <c r="K263" s="169"/>
      <c r="L263" s="169"/>
      <c r="M263" s="40"/>
      <c r="N263" s="40"/>
      <c r="O263" s="259"/>
      <c r="Q263" s="45"/>
      <c r="R263" s="226"/>
      <c r="S263" s="226"/>
      <c r="T263" s="43"/>
      <c r="U263" s="43"/>
      <c r="V263" s="215"/>
      <c r="W263" s="215"/>
      <c r="X263" s="216"/>
      <c r="Y263" s="43"/>
      <c r="Z263" s="216"/>
      <c r="AA263" s="217"/>
      <c r="AB263" s="216"/>
      <c r="AC263" s="216"/>
      <c r="AD263" s="216"/>
      <c r="AE263" s="216"/>
      <c r="AF263" s="217"/>
      <c r="AG263" s="216"/>
      <c r="AH263" s="43"/>
      <c r="AI263" s="43"/>
      <c r="AJ263" s="43"/>
      <c r="AK263" s="104"/>
      <c r="AL263" s="35"/>
      <c r="AM263" s="35"/>
      <c r="AN263" s="36"/>
      <c r="AO263" s="36"/>
      <c r="AP263" s="36"/>
      <c r="AQ263" s="36"/>
      <c r="AR263" s="36"/>
      <c r="AS263" s="36"/>
      <c r="AT263" s="36"/>
      <c r="AU263" s="36"/>
      <c r="AV263" s="36"/>
      <c r="AW263" s="36"/>
      <c r="AX263" s="36"/>
      <c r="AY263" s="36"/>
      <c r="AZ263" s="36"/>
      <c r="BA263" s="36"/>
      <c r="BB263" s="36"/>
      <c r="BC263" s="36"/>
      <c r="BD263" s="36"/>
      <c r="BE263" s="36"/>
    </row>
    <row r="264" spans="2:57" s="30" customFormat="1" ht="15" x14ac:dyDescent="0.2">
      <c r="B264" s="44" t="s">
        <v>498</v>
      </c>
      <c r="C264" s="156"/>
      <c r="D264" s="81" t="s">
        <v>5</v>
      </c>
      <c r="G264" s="33"/>
      <c r="H264" s="52"/>
      <c r="I264" s="51"/>
      <c r="J264" s="51"/>
      <c r="K264" s="33"/>
      <c r="L264" s="33"/>
      <c r="M264" s="81"/>
      <c r="N264" s="81"/>
      <c r="O264" s="96"/>
      <c r="P264" s="51"/>
      <c r="Q264" s="50"/>
      <c r="R264" s="43"/>
      <c r="S264" s="43"/>
      <c r="T264" s="43"/>
      <c r="U264" s="43"/>
      <c r="V264" s="43"/>
      <c r="W264" s="43"/>
      <c r="X264" s="43"/>
      <c r="Y264" s="43"/>
      <c r="Z264" s="43"/>
      <c r="AA264" s="43"/>
      <c r="AB264" s="43"/>
      <c r="AC264" s="43"/>
      <c r="AD264" s="43"/>
      <c r="AE264" s="43"/>
      <c r="AF264" s="43"/>
      <c r="AG264" s="43"/>
      <c r="AH264" s="43"/>
      <c r="AI264" s="43"/>
      <c r="AJ264" s="43"/>
      <c r="AK264" s="104"/>
      <c r="AL264" s="35"/>
      <c r="AM264" s="35"/>
      <c r="AN264" s="36"/>
      <c r="AO264" s="36"/>
      <c r="AP264" s="36"/>
      <c r="AQ264" s="36"/>
      <c r="AR264" s="36"/>
      <c r="AS264" s="36"/>
      <c r="AT264" s="36"/>
      <c r="AU264" s="36"/>
      <c r="AV264" s="36"/>
      <c r="AW264" s="36"/>
      <c r="AX264" s="36"/>
      <c r="AY264" s="36"/>
      <c r="AZ264" s="36"/>
      <c r="BA264" s="36"/>
      <c r="BB264" s="36"/>
      <c r="BC264" s="36"/>
      <c r="BD264" s="36"/>
      <c r="BE264" s="36"/>
    </row>
    <row r="265" spans="2:57" s="30" customFormat="1" ht="15" x14ac:dyDescent="0.2">
      <c r="B265" s="151" t="s">
        <v>1</v>
      </c>
      <c r="C265" s="33"/>
      <c r="D265" s="81"/>
      <c r="E265" s="33"/>
      <c r="F265" s="33"/>
      <c r="G265" s="37"/>
      <c r="H265" s="81"/>
      <c r="J265" s="32"/>
      <c r="K265" s="37" t="s">
        <v>297</v>
      </c>
      <c r="L265" s="37" t="s">
        <v>185</v>
      </c>
      <c r="M265" s="81"/>
      <c r="N265" s="81"/>
      <c r="O265" s="96"/>
      <c r="P265" s="33"/>
      <c r="Q265" s="34"/>
      <c r="R265" s="43" t="s">
        <v>318</v>
      </c>
      <c r="S265" s="43"/>
      <c r="T265" s="43" t="s">
        <v>400</v>
      </c>
      <c r="U265" s="43" t="s">
        <v>399</v>
      </c>
      <c r="V265" s="43" t="s">
        <v>397</v>
      </c>
      <c r="W265" s="43" t="s">
        <v>398</v>
      </c>
      <c r="X265" s="43" t="s">
        <v>401</v>
      </c>
      <c r="Y265" s="43" t="s">
        <v>403</v>
      </c>
      <c r="Z265" s="43" t="s">
        <v>402</v>
      </c>
      <c r="AA265" s="43" t="s">
        <v>186</v>
      </c>
      <c r="AB265" s="43" t="s">
        <v>345</v>
      </c>
      <c r="AC265" s="43" t="s">
        <v>404</v>
      </c>
      <c r="AD265" s="43" t="s">
        <v>346</v>
      </c>
      <c r="AE265" s="43" t="s">
        <v>405</v>
      </c>
      <c r="AF265" s="43" t="s">
        <v>406</v>
      </c>
      <c r="AG265" s="43" t="s">
        <v>578</v>
      </c>
      <c r="AH265" s="43" t="s">
        <v>190</v>
      </c>
      <c r="AI265" s="43" t="s">
        <v>249</v>
      </c>
      <c r="AJ265" s="43" t="s">
        <v>191</v>
      </c>
      <c r="AK265" s="104"/>
      <c r="AL265" s="35"/>
      <c r="AM265" s="35"/>
      <c r="AN265" s="36"/>
      <c r="AO265" s="36"/>
      <c r="AP265" s="36"/>
      <c r="AQ265" s="36"/>
      <c r="AR265" s="36"/>
      <c r="AS265" s="36"/>
      <c r="AT265" s="36"/>
      <c r="AU265" s="36"/>
      <c r="AV265" s="36"/>
      <c r="AW265" s="36"/>
      <c r="AX265" s="36"/>
      <c r="AY265" s="36"/>
      <c r="AZ265" s="36"/>
      <c r="BA265" s="36"/>
      <c r="BB265" s="36"/>
      <c r="BC265" s="36"/>
      <c r="BD265" s="36"/>
      <c r="BE265" s="36"/>
    </row>
    <row r="266" spans="2:57" s="30" customFormat="1" ht="30" x14ac:dyDescent="0.2">
      <c r="B266" s="166" t="s">
        <v>501</v>
      </c>
      <c r="C266" s="156"/>
      <c r="D266" s="86" t="s">
        <v>52</v>
      </c>
      <c r="E266" s="57"/>
      <c r="F266" s="55"/>
      <c r="G266" s="157"/>
      <c r="H266" s="81" t="str">
        <f>IF(D266="t","","t/m3")</f>
        <v/>
      </c>
      <c r="J266" s="169" t="s">
        <v>395</v>
      </c>
      <c r="K266" s="92" t="str">
        <f>IFERROR(IF(ISNUMBER(L266),L266,(VLOOKUP(C267,Kalusto!$C$45:$G$84,5,FALSE)*VLOOKUP(C268,Muut!$D$40:$E$43,2,FALSE))),"--")</f>
        <v>--</v>
      </c>
      <c r="L266" s="39"/>
      <c r="M266" s="40" t="s">
        <v>184</v>
      </c>
      <c r="N266" s="40"/>
      <c r="O266" s="259"/>
      <c r="Q266" s="45"/>
      <c r="R266" s="213" t="str">
        <f>IF(AND(NOT(ISNUMBER(AB266)),NOT(ISNUMBER(AG266))),"",IF(ISNUMBER(AB266),AB266,0)+IF(ISNUMBER(AG266),AG266,0))</f>
        <v/>
      </c>
      <c r="S266" s="226" t="s">
        <v>160</v>
      </c>
      <c r="T266" s="211" t="str">
        <f>IFERROR(IF(ISNUMBER(L266),"Kohdetieto",VLOOKUP(C267,Kalusto!$C$45:$L$84,7,FALSE)),"--")</f>
        <v>--</v>
      </c>
      <c r="U266" s="211" t="str">
        <f>IFERROR(IF(ISNUMBER(L266),"Kohdetieto",VLOOKUP(C267,Kalusto!$C$45:$L$84,8,FALSE)),"--")</f>
        <v>--</v>
      </c>
      <c r="V266" s="212" t="str">
        <f>IFERROR(IF(ISNUMBER(L266),"Kohdetieto",VLOOKUP(C267,Kalusto!$C$45:$L$84,9,FALSE)),"--")</f>
        <v>--</v>
      </c>
      <c r="W266" s="212" t="str">
        <f>IFERROR(IF(ISNUMBER(L266),"Kohdetieto",VLOOKUP(C267,Kalusto!$C$45:$L$84,10,FALSE)),"--")</f>
        <v>--</v>
      </c>
      <c r="X266" s="213" t="str">
        <f>IF(ISBLANK(C266),"",IF(D266="t",C266,C266*G266))</f>
        <v/>
      </c>
      <c r="Y266" s="211" t="str">
        <f>IF(ISNUMBER(C269),C269,"")</f>
        <v/>
      </c>
      <c r="Z266" s="213" t="str">
        <f>IF(ISNUMBER(X266/(U266*V266)*Y266),X266/(U266*V266)*Y266,"")</f>
        <v/>
      </c>
      <c r="AA266" s="214" t="str">
        <f>IF(ISNUMBER(L266),L266,K266)</f>
        <v>--</v>
      </c>
      <c r="AB266" s="213" t="str">
        <f>IF(ISNUMBER(Y266*X266*K266),Y266*X266*K266,"")</f>
        <v/>
      </c>
      <c r="AC266" s="213" t="str">
        <f>IF(ISNUMBER(Y266),Y266,"")</f>
        <v/>
      </c>
      <c r="AD266" s="213" t="str">
        <f>IF(ISNUMBER(X266),IF(ISNUMBER(X266/(U266*V266)),CEILING(X266/(U266*V266),1),""),"")</f>
        <v/>
      </c>
      <c r="AE266" s="213" t="str">
        <f>IF(ISNUMBER(AD266*AC266),AD266*AC266,"")</f>
        <v/>
      </c>
      <c r="AF266" s="214" t="str">
        <f>IF(ISNUMBER(L267),L267,K267)</f>
        <v>--</v>
      </c>
      <c r="AG266" s="213" t="str">
        <f>IF(ISNUMBER(AC266*AD266*K267),AC266*AD266*K267,"")</f>
        <v/>
      </c>
      <c r="AH266" s="211">
        <f>IF(T266="Jakelukuorma-auto",0,IF(T266="Maansiirtoauto",4,IF(T266="Puoliperävaunu",6,8)))</f>
        <v>8</v>
      </c>
      <c r="AI266" s="211">
        <f>IF(AND(T266="Jakelukuorma-auto",U266=6),0,IF(AND(T266="Jakelukuorma-auto",U266=15),2,0))</f>
        <v>0</v>
      </c>
      <c r="AJ266" s="211">
        <f>IF(W266="maantieajo",0,1)</f>
        <v>1</v>
      </c>
      <c r="AK266" s="104"/>
      <c r="AL266" s="35"/>
      <c r="AM266" s="35"/>
      <c r="AN266" s="36"/>
      <c r="AO266" s="36"/>
      <c r="AP266" s="36"/>
      <c r="AQ266" s="36"/>
      <c r="AR266" s="36"/>
      <c r="AS266" s="36"/>
      <c r="AT266" s="36"/>
      <c r="AU266" s="36"/>
      <c r="AV266" s="36"/>
      <c r="AW266" s="36"/>
      <c r="AX266" s="36"/>
      <c r="AY266" s="36"/>
      <c r="AZ266" s="36"/>
      <c r="BA266" s="36"/>
      <c r="BB266" s="36"/>
      <c r="BC266" s="36"/>
      <c r="BD266" s="36"/>
      <c r="BE266" s="36"/>
    </row>
    <row r="267" spans="2:57" s="30" customFormat="1" ht="30" x14ac:dyDescent="0.2">
      <c r="B267" s="166" t="s">
        <v>499</v>
      </c>
      <c r="C267" s="471" t="s">
        <v>298</v>
      </c>
      <c r="D267" s="472"/>
      <c r="E267" s="472"/>
      <c r="F267" s="472"/>
      <c r="G267" s="473"/>
      <c r="H267" s="30" t="s">
        <v>187</v>
      </c>
      <c r="J267" s="32" t="s">
        <v>396</v>
      </c>
      <c r="K267" s="92" t="str">
        <f>IFERROR(IF(ISNUMBER(L267),L267,(VLOOKUP(C267,Kalusto!$C$45:$V$84,19,FALSE)*(VLOOKUP(C268,Muut!$D$40:$E$43,2,FALSE)))),"--")</f>
        <v>--</v>
      </c>
      <c r="L267" s="39"/>
      <c r="M267" s="40" t="s">
        <v>188</v>
      </c>
      <c r="N267" s="40"/>
      <c r="O267" s="259"/>
      <c r="P267" s="33"/>
      <c r="Q267" s="50"/>
      <c r="R267" s="43"/>
      <c r="S267" s="43"/>
      <c r="T267" s="43"/>
      <c r="U267" s="43"/>
      <c r="V267" s="43"/>
      <c r="W267" s="43"/>
      <c r="X267" s="43"/>
      <c r="Y267" s="43"/>
      <c r="Z267" s="43"/>
      <c r="AA267" s="43"/>
      <c r="AB267" s="43"/>
      <c r="AC267" s="43"/>
      <c r="AD267" s="43"/>
      <c r="AE267" s="43"/>
      <c r="AF267" s="43"/>
      <c r="AG267" s="43"/>
      <c r="AH267" s="43"/>
      <c r="AI267" s="43"/>
      <c r="AJ267" s="43"/>
      <c r="AK267" s="104"/>
      <c r="AL267" s="35"/>
      <c r="AM267" s="35"/>
      <c r="AN267" s="36"/>
      <c r="AO267" s="36"/>
      <c r="AP267" s="36"/>
      <c r="AQ267" s="36"/>
      <c r="AR267" s="36"/>
      <c r="AS267" s="36"/>
      <c r="AT267" s="36"/>
      <c r="AU267" s="36"/>
      <c r="AV267" s="36"/>
      <c r="AW267" s="36"/>
      <c r="AX267" s="36"/>
      <c r="AY267" s="36"/>
      <c r="AZ267" s="36"/>
      <c r="BA267" s="36"/>
      <c r="BB267" s="36"/>
      <c r="BC267" s="36"/>
      <c r="BD267" s="36"/>
      <c r="BE267" s="36"/>
    </row>
    <row r="268" spans="2:57" s="30" customFormat="1" ht="15" x14ac:dyDescent="0.2">
      <c r="B268" s="182" t="s">
        <v>457</v>
      </c>
      <c r="C268" s="156" t="s">
        <v>309</v>
      </c>
      <c r="D268" s="33"/>
      <c r="E268" s="33"/>
      <c r="F268" s="33"/>
      <c r="G268" s="33"/>
      <c r="H268" s="57"/>
      <c r="J268" s="169"/>
      <c r="K268" s="169"/>
      <c r="L268" s="169"/>
      <c r="M268" s="40"/>
      <c r="N268" s="40"/>
      <c r="O268" s="259"/>
      <c r="Q268" s="45"/>
      <c r="R268" s="226"/>
      <c r="S268" s="226"/>
      <c r="T268" s="43"/>
      <c r="U268" s="43"/>
      <c r="V268" s="215"/>
      <c r="W268" s="215"/>
      <c r="X268" s="216"/>
      <c r="Y268" s="43"/>
      <c r="Z268" s="216"/>
      <c r="AA268" s="217"/>
      <c r="AB268" s="216"/>
      <c r="AC268" s="216"/>
      <c r="AD268" s="216"/>
      <c r="AE268" s="216"/>
      <c r="AF268" s="217"/>
      <c r="AG268" s="216"/>
      <c r="AH268" s="43"/>
      <c r="AI268" s="43"/>
      <c r="AJ268" s="43"/>
      <c r="AK268" s="104"/>
      <c r="AL268" s="35"/>
      <c r="AM268" s="35"/>
      <c r="AN268" s="36"/>
      <c r="AO268" s="36"/>
      <c r="AP268" s="36"/>
      <c r="AQ268" s="36"/>
      <c r="AR268" s="36"/>
      <c r="AS268" s="36"/>
      <c r="AT268" s="36"/>
      <c r="AU268" s="36"/>
      <c r="AV268" s="36"/>
      <c r="AW268" s="36"/>
      <c r="AX268" s="36"/>
      <c r="AY268" s="36"/>
      <c r="AZ268" s="36"/>
      <c r="BA268" s="36"/>
      <c r="BB268" s="36"/>
      <c r="BC268" s="36"/>
      <c r="BD268" s="36"/>
      <c r="BE268" s="36"/>
    </row>
    <row r="269" spans="2:57" s="30" customFormat="1" ht="15" x14ac:dyDescent="0.2">
      <c r="B269" s="44" t="s">
        <v>498</v>
      </c>
      <c r="C269" s="156"/>
      <c r="D269" s="81" t="s">
        <v>5</v>
      </c>
      <c r="G269" s="33"/>
      <c r="H269" s="52"/>
      <c r="I269" s="51"/>
      <c r="J269" s="51"/>
      <c r="K269" s="33"/>
      <c r="L269" s="33"/>
      <c r="M269" s="81"/>
      <c r="N269" s="81"/>
      <c r="O269" s="96"/>
      <c r="P269" s="51"/>
      <c r="Q269" s="50"/>
      <c r="R269" s="43"/>
      <c r="S269" s="43"/>
      <c r="T269" s="43"/>
      <c r="U269" s="43"/>
      <c r="V269" s="43"/>
      <c r="W269" s="43"/>
      <c r="X269" s="43"/>
      <c r="Y269" s="43"/>
      <c r="Z269" s="43"/>
      <c r="AA269" s="43"/>
      <c r="AB269" s="43"/>
      <c r="AC269" s="43"/>
      <c r="AD269" s="43"/>
      <c r="AE269" s="43"/>
      <c r="AF269" s="43"/>
      <c r="AG269" s="43"/>
      <c r="AH269" s="43"/>
      <c r="AI269" s="43"/>
      <c r="AJ269" s="43"/>
      <c r="AK269" s="104"/>
      <c r="AL269" s="35"/>
      <c r="AM269" s="35"/>
      <c r="AN269" s="36"/>
      <c r="AO269" s="36"/>
      <c r="AP269" s="36"/>
      <c r="AQ269" s="36"/>
      <c r="AR269" s="36"/>
      <c r="AS269" s="36"/>
      <c r="AT269" s="36"/>
      <c r="AU269" s="36"/>
      <c r="AV269" s="36"/>
      <c r="AW269" s="36"/>
      <c r="AX269" s="36"/>
      <c r="AY269" s="36"/>
      <c r="AZ269" s="36"/>
      <c r="BA269" s="36"/>
      <c r="BB269" s="36"/>
      <c r="BC269" s="36"/>
      <c r="BD269" s="36"/>
      <c r="BE269" s="36"/>
    </row>
    <row r="270" spans="2:57" s="30" customFormat="1" ht="15" x14ac:dyDescent="0.2">
      <c r="B270" s="151" t="s">
        <v>2</v>
      </c>
      <c r="C270" s="33"/>
      <c r="D270" s="81"/>
      <c r="E270" s="33"/>
      <c r="F270" s="33"/>
      <c r="G270" s="37"/>
      <c r="H270" s="81"/>
      <c r="J270" s="32"/>
      <c r="K270" s="37" t="s">
        <v>297</v>
      </c>
      <c r="L270" s="37" t="s">
        <v>185</v>
      </c>
      <c r="M270" s="81"/>
      <c r="N270" s="81"/>
      <c r="O270" s="96"/>
      <c r="P270" s="33"/>
      <c r="Q270" s="34"/>
      <c r="R270" s="43" t="s">
        <v>318</v>
      </c>
      <c r="S270" s="43"/>
      <c r="T270" s="43" t="s">
        <v>400</v>
      </c>
      <c r="U270" s="43" t="s">
        <v>399</v>
      </c>
      <c r="V270" s="43" t="s">
        <v>397</v>
      </c>
      <c r="W270" s="43" t="s">
        <v>398</v>
      </c>
      <c r="X270" s="43" t="s">
        <v>401</v>
      </c>
      <c r="Y270" s="43" t="s">
        <v>403</v>
      </c>
      <c r="Z270" s="43" t="s">
        <v>402</v>
      </c>
      <c r="AA270" s="43" t="s">
        <v>186</v>
      </c>
      <c r="AB270" s="43" t="s">
        <v>345</v>
      </c>
      <c r="AC270" s="43" t="s">
        <v>404</v>
      </c>
      <c r="AD270" s="43" t="s">
        <v>346</v>
      </c>
      <c r="AE270" s="43" t="s">
        <v>405</v>
      </c>
      <c r="AF270" s="43" t="s">
        <v>406</v>
      </c>
      <c r="AG270" s="43" t="s">
        <v>578</v>
      </c>
      <c r="AH270" s="43" t="s">
        <v>190</v>
      </c>
      <c r="AI270" s="43" t="s">
        <v>249</v>
      </c>
      <c r="AJ270" s="43" t="s">
        <v>191</v>
      </c>
      <c r="AK270" s="104"/>
      <c r="AL270" s="35"/>
      <c r="AM270" s="35"/>
      <c r="AN270" s="36"/>
      <c r="AO270" s="36"/>
      <c r="AP270" s="36"/>
      <c r="AQ270" s="36"/>
      <c r="AR270" s="36"/>
      <c r="AS270" s="36"/>
      <c r="AT270" s="36"/>
      <c r="AU270" s="36"/>
      <c r="AV270" s="36"/>
      <c r="AW270" s="36"/>
      <c r="AX270" s="36"/>
      <c r="AY270" s="36"/>
      <c r="AZ270" s="36"/>
      <c r="BA270" s="36"/>
      <c r="BB270" s="36"/>
      <c r="BC270" s="36"/>
      <c r="BD270" s="36"/>
      <c r="BE270" s="36"/>
    </row>
    <row r="271" spans="2:57" s="30" customFormat="1" ht="30" x14ac:dyDescent="0.2">
      <c r="B271" s="166" t="s">
        <v>501</v>
      </c>
      <c r="C271" s="156"/>
      <c r="D271" s="86" t="s">
        <v>52</v>
      </c>
      <c r="E271" s="57"/>
      <c r="F271" s="55"/>
      <c r="G271" s="157"/>
      <c r="H271" s="81" t="str">
        <f>IF(D271="t","","t/m3")</f>
        <v/>
      </c>
      <c r="J271" s="169" t="s">
        <v>395</v>
      </c>
      <c r="K271" s="92" t="str">
        <f>IFERROR(IF(ISNUMBER(L271),L271,(VLOOKUP(C272,Kalusto!$C$45:$G$84,5,FALSE)*VLOOKUP(C273,Muut!$D$40:$E$43,2,FALSE))),"--")</f>
        <v>--</v>
      </c>
      <c r="L271" s="39"/>
      <c r="M271" s="40" t="s">
        <v>184</v>
      </c>
      <c r="N271" s="40"/>
      <c r="O271" s="259"/>
      <c r="Q271" s="45"/>
      <c r="R271" s="213" t="str">
        <f>IF(AND(NOT(ISNUMBER(AB271)),NOT(ISNUMBER(AG271))),"",IF(ISNUMBER(AB271),AB271,0)+IF(ISNUMBER(AG271),AG271,0))</f>
        <v/>
      </c>
      <c r="S271" s="226" t="s">
        <v>160</v>
      </c>
      <c r="T271" s="211" t="str">
        <f>IFERROR(IF(ISNUMBER(L271),"Kohdetieto",VLOOKUP(C272,Kalusto!$C$45:$L$84,7,FALSE)),"--")</f>
        <v>--</v>
      </c>
      <c r="U271" s="211" t="str">
        <f>IFERROR(IF(ISNUMBER(L271),"Kohdetieto",VLOOKUP(C272,Kalusto!$C$45:$L$84,8,FALSE)),"--")</f>
        <v>--</v>
      </c>
      <c r="V271" s="212" t="str">
        <f>IFERROR(IF(ISNUMBER(L271),"Kohdetieto",VLOOKUP(C272,Kalusto!$C$45:$L$84,9,FALSE)),"--")</f>
        <v>--</v>
      </c>
      <c r="W271" s="212" t="str">
        <f>IFERROR(IF(ISNUMBER(L271),"Kohdetieto",VLOOKUP(C272,Kalusto!$C$45:$L$84,10,FALSE)),"--")</f>
        <v>--</v>
      </c>
      <c r="X271" s="213" t="str">
        <f>IF(ISBLANK(C271),"",IF(D271="t",C271,C271*G271))</f>
        <v/>
      </c>
      <c r="Y271" s="211" t="str">
        <f>IF(ISNUMBER(C274),C274,"")</f>
        <v/>
      </c>
      <c r="Z271" s="213" t="str">
        <f>IF(ISNUMBER(X271/(U271*V271)*Y271),X271/(U271*V271)*Y271,"")</f>
        <v/>
      </c>
      <c r="AA271" s="214" t="str">
        <f>IF(ISNUMBER(L271),L271,K271)</f>
        <v>--</v>
      </c>
      <c r="AB271" s="213" t="str">
        <f>IF(ISNUMBER(Y271*X271*K271),Y271*X271*K271,"")</f>
        <v/>
      </c>
      <c r="AC271" s="213" t="str">
        <f>IF(ISNUMBER(Y271),Y271,"")</f>
        <v/>
      </c>
      <c r="AD271" s="213" t="str">
        <f>IF(ISNUMBER(X271),IF(ISNUMBER(X271/(U271*V271)),CEILING(X271/(U271*V271),1),""),"")</f>
        <v/>
      </c>
      <c r="AE271" s="213" t="str">
        <f>IF(ISNUMBER(AD271*AC271),AD271*AC271,"")</f>
        <v/>
      </c>
      <c r="AF271" s="214" t="str">
        <f>IF(ISNUMBER(L272),L272,K272)</f>
        <v>--</v>
      </c>
      <c r="AG271" s="213" t="str">
        <f>IF(ISNUMBER(AC271*AD271*K272),AC271*AD271*K272,"")</f>
        <v/>
      </c>
      <c r="AH271" s="211">
        <f>IF(T271="Jakelukuorma-auto",0,IF(T271="Maansiirtoauto",4,IF(T271="Puoliperävaunu",6,8)))</f>
        <v>8</v>
      </c>
      <c r="AI271" s="211">
        <f>IF(AND(T271="Jakelukuorma-auto",U271=6),0,IF(AND(T271="Jakelukuorma-auto",U271=15),2,0))</f>
        <v>0</v>
      </c>
      <c r="AJ271" s="211">
        <f>IF(W271="maantieajo",0,1)</f>
        <v>1</v>
      </c>
      <c r="AK271" s="104"/>
      <c r="AL271" s="35"/>
      <c r="AM271" s="35"/>
      <c r="AN271" s="36"/>
      <c r="AO271" s="36"/>
      <c r="AP271" s="36"/>
      <c r="AQ271" s="36"/>
      <c r="AR271" s="36"/>
      <c r="AS271" s="36"/>
      <c r="AT271" s="36"/>
      <c r="AU271" s="36"/>
      <c r="AV271" s="36"/>
      <c r="AW271" s="36"/>
      <c r="AX271" s="36"/>
      <c r="AY271" s="36"/>
      <c r="AZ271" s="36"/>
      <c r="BA271" s="36"/>
      <c r="BB271" s="36"/>
      <c r="BC271" s="36"/>
      <c r="BD271" s="36"/>
      <c r="BE271" s="36"/>
    </row>
    <row r="272" spans="2:57" s="30" customFormat="1" ht="30" x14ac:dyDescent="0.2">
      <c r="B272" s="166" t="s">
        <v>499</v>
      </c>
      <c r="C272" s="471" t="s">
        <v>298</v>
      </c>
      <c r="D272" s="472"/>
      <c r="E272" s="472"/>
      <c r="F272" s="472"/>
      <c r="G272" s="473"/>
      <c r="J272" s="32" t="s">
        <v>396</v>
      </c>
      <c r="K272" s="92" t="str">
        <f>IFERROR(IF(ISNUMBER(L272),L272,(VLOOKUP(C272,Kalusto!$C$45:$V$84,19,FALSE)*(VLOOKUP(C273,Muut!$D$40:$E$43,2,FALSE)))),"--")</f>
        <v>--</v>
      </c>
      <c r="L272" s="39"/>
      <c r="M272" s="40" t="s">
        <v>188</v>
      </c>
      <c r="N272" s="40"/>
      <c r="O272" s="259"/>
      <c r="P272" s="33"/>
      <c r="Q272" s="50"/>
      <c r="R272" s="43"/>
      <c r="S272" s="43"/>
      <c r="T272" s="43"/>
      <c r="U272" s="43"/>
      <c r="V272" s="43"/>
      <c r="W272" s="43"/>
      <c r="X272" s="43"/>
      <c r="Y272" s="43"/>
      <c r="Z272" s="43"/>
      <c r="AA272" s="43"/>
      <c r="AB272" s="43"/>
      <c r="AC272" s="43"/>
      <c r="AD272" s="43"/>
      <c r="AE272" s="43"/>
      <c r="AF272" s="43"/>
      <c r="AG272" s="43"/>
      <c r="AH272" s="43"/>
      <c r="AI272" s="43"/>
      <c r="AJ272" s="43"/>
      <c r="AK272" s="104"/>
      <c r="AL272" s="35"/>
      <c r="AM272" s="35"/>
      <c r="AN272" s="36"/>
      <c r="AO272" s="36"/>
      <c r="AP272" s="36"/>
      <c r="AQ272" s="36"/>
      <c r="AR272" s="36"/>
      <c r="AS272" s="36"/>
      <c r="AT272" s="36"/>
      <c r="AU272" s="36"/>
      <c r="AV272" s="36"/>
      <c r="AW272" s="36"/>
      <c r="AX272" s="36"/>
      <c r="AY272" s="36"/>
      <c r="AZ272" s="36"/>
      <c r="BA272" s="36"/>
      <c r="BB272" s="36"/>
      <c r="BC272" s="36"/>
      <c r="BD272" s="36"/>
      <c r="BE272" s="36"/>
    </row>
    <row r="273" spans="2:57" s="30" customFormat="1" ht="15" x14ac:dyDescent="0.2">
      <c r="B273" s="182" t="s">
        <v>457</v>
      </c>
      <c r="C273" s="156" t="s">
        <v>309</v>
      </c>
      <c r="D273" s="33"/>
      <c r="E273" s="33"/>
      <c r="F273" s="33"/>
      <c r="G273" s="33"/>
      <c r="H273" s="57"/>
      <c r="J273" s="169"/>
      <c r="K273" s="169"/>
      <c r="L273" s="169"/>
      <c r="M273" s="40"/>
      <c r="N273" s="40"/>
      <c r="O273" s="259"/>
      <c r="Q273" s="45"/>
      <c r="R273" s="226"/>
      <c r="S273" s="226"/>
      <c r="T273" s="43"/>
      <c r="U273" s="43"/>
      <c r="V273" s="215"/>
      <c r="W273" s="215"/>
      <c r="X273" s="216"/>
      <c r="Y273" s="43"/>
      <c r="Z273" s="216"/>
      <c r="AA273" s="217"/>
      <c r="AB273" s="216"/>
      <c r="AC273" s="216"/>
      <c r="AD273" s="216"/>
      <c r="AE273" s="216"/>
      <c r="AF273" s="217"/>
      <c r="AG273" s="216"/>
      <c r="AH273" s="43"/>
      <c r="AI273" s="43"/>
      <c r="AJ273" s="43"/>
      <c r="AK273" s="104"/>
      <c r="AL273" s="35"/>
      <c r="AM273" s="35"/>
      <c r="AN273" s="36"/>
      <c r="AO273" s="36"/>
      <c r="AP273" s="36"/>
      <c r="AQ273" s="36"/>
      <c r="AR273" s="36"/>
      <c r="AS273" s="36"/>
      <c r="AT273" s="36"/>
      <c r="AU273" s="36"/>
      <c r="AV273" s="36"/>
      <c r="AW273" s="36"/>
      <c r="AX273" s="36"/>
      <c r="AY273" s="36"/>
      <c r="AZ273" s="36"/>
      <c r="BA273" s="36"/>
      <c r="BB273" s="36"/>
      <c r="BC273" s="36"/>
      <c r="BD273" s="36"/>
      <c r="BE273" s="36"/>
    </row>
    <row r="274" spans="2:57" s="30" customFormat="1" ht="15" x14ac:dyDescent="0.2">
      <c r="B274" s="44" t="s">
        <v>498</v>
      </c>
      <c r="C274" s="156"/>
      <c r="D274" s="81" t="s">
        <v>5</v>
      </c>
      <c r="G274" s="33"/>
      <c r="H274" s="81"/>
      <c r="I274" s="51"/>
      <c r="J274" s="51"/>
      <c r="K274" s="33"/>
      <c r="L274" s="33"/>
      <c r="M274" s="81"/>
      <c r="N274" s="81"/>
      <c r="O274" s="96"/>
      <c r="P274" s="51"/>
      <c r="Q274" s="50"/>
      <c r="R274" s="43"/>
      <c r="S274" s="43"/>
      <c r="T274" s="43"/>
      <c r="U274" s="43"/>
      <c r="V274" s="43"/>
      <c r="W274" s="43"/>
      <c r="X274" s="43"/>
      <c r="Y274" s="43"/>
      <c r="Z274" s="43"/>
      <c r="AA274" s="43"/>
      <c r="AB274" s="43"/>
      <c r="AC274" s="43"/>
      <c r="AD274" s="43"/>
      <c r="AE274" s="43"/>
      <c r="AF274" s="43"/>
      <c r="AG274" s="43"/>
      <c r="AH274" s="43"/>
      <c r="AI274" s="43"/>
      <c r="AJ274" s="43"/>
      <c r="AK274" s="104"/>
      <c r="AL274" s="35"/>
      <c r="AM274" s="35"/>
      <c r="AN274" s="36"/>
      <c r="AO274" s="36"/>
      <c r="AP274" s="36"/>
      <c r="AQ274" s="36"/>
      <c r="AR274" s="36"/>
      <c r="AS274" s="36"/>
      <c r="AT274" s="36"/>
      <c r="AU274" s="36"/>
      <c r="AV274" s="36"/>
      <c r="AW274" s="36"/>
      <c r="AX274" s="36"/>
      <c r="AY274" s="36"/>
      <c r="AZ274" s="36"/>
      <c r="BA274" s="36"/>
      <c r="BB274" s="36"/>
      <c r="BC274" s="36"/>
      <c r="BD274" s="36"/>
      <c r="BE274" s="36"/>
    </row>
    <row r="275" spans="2:57" s="30" customFormat="1" ht="15" x14ac:dyDescent="0.2">
      <c r="B275" s="151" t="s">
        <v>3</v>
      </c>
      <c r="C275" s="33"/>
      <c r="D275" s="81"/>
      <c r="E275" s="33"/>
      <c r="F275" s="33"/>
      <c r="G275" s="37"/>
      <c r="H275" s="81"/>
      <c r="J275" s="32"/>
      <c r="K275" s="37" t="s">
        <v>297</v>
      </c>
      <c r="L275" s="37" t="s">
        <v>185</v>
      </c>
      <c r="M275" s="81"/>
      <c r="N275" s="81"/>
      <c r="O275" s="96"/>
      <c r="P275" s="33"/>
      <c r="Q275" s="34"/>
      <c r="R275" s="43" t="s">
        <v>318</v>
      </c>
      <c r="S275" s="43"/>
      <c r="T275" s="43" t="s">
        <v>400</v>
      </c>
      <c r="U275" s="43" t="s">
        <v>399</v>
      </c>
      <c r="V275" s="43" t="s">
        <v>397</v>
      </c>
      <c r="W275" s="43" t="s">
        <v>398</v>
      </c>
      <c r="X275" s="43" t="s">
        <v>401</v>
      </c>
      <c r="Y275" s="43" t="s">
        <v>403</v>
      </c>
      <c r="Z275" s="43" t="s">
        <v>402</v>
      </c>
      <c r="AA275" s="43" t="s">
        <v>186</v>
      </c>
      <c r="AB275" s="43" t="s">
        <v>345</v>
      </c>
      <c r="AC275" s="43" t="s">
        <v>404</v>
      </c>
      <c r="AD275" s="43" t="s">
        <v>346</v>
      </c>
      <c r="AE275" s="43" t="s">
        <v>405</v>
      </c>
      <c r="AF275" s="43" t="s">
        <v>406</v>
      </c>
      <c r="AG275" s="43" t="s">
        <v>578</v>
      </c>
      <c r="AH275" s="43" t="s">
        <v>190</v>
      </c>
      <c r="AI275" s="43" t="s">
        <v>249</v>
      </c>
      <c r="AJ275" s="43" t="s">
        <v>191</v>
      </c>
      <c r="AK275" s="104"/>
      <c r="AL275" s="35"/>
      <c r="AM275" s="35"/>
      <c r="AN275" s="36"/>
      <c r="AO275" s="36"/>
      <c r="AP275" s="36"/>
      <c r="AQ275" s="36"/>
      <c r="AR275" s="36"/>
      <c r="AS275" s="36"/>
      <c r="AT275" s="36"/>
      <c r="AU275" s="36"/>
      <c r="AV275" s="36"/>
      <c r="AW275" s="36"/>
      <c r="AX275" s="36"/>
      <c r="AY275" s="36"/>
      <c r="AZ275" s="36"/>
      <c r="BA275" s="36"/>
      <c r="BB275" s="36"/>
      <c r="BC275" s="36"/>
      <c r="BD275" s="36"/>
      <c r="BE275" s="36"/>
    </row>
    <row r="276" spans="2:57" s="30" customFormat="1" ht="30" x14ac:dyDescent="0.2">
      <c r="B276" s="166" t="s">
        <v>501</v>
      </c>
      <c r="C276" s="156"/>
      <c r="D276" s="86" t="s">
        <v>52</v>
      </c>
      <c r="E276" s="57"/>
      <c r="F276" s="55"/>
      <c r="G276" s="157"/>
      <c r="H276" s="81" t="str">
        <f>IF(D276="t","","t/m3")</f>
        <v/>
      </c>
      <c r="J276" s="169" t="s">
        <v>395</v>
      </c>
      <c r="K276" s="92" t="str">
        <f>IFERROR(IF(ISNUMBER(L276),L276,(VLOOKUP(C277,Kalusto!$C$45:$G$84,5,FALSE)*VLOOKUP(C278,Muut!$D$40:$E$43,2,FALSE))),"--")</f>
        <v>--</v>
      </c>
      <c r="L276" s="39"/>
      <c r="M276" s="40" t="s">
        <v>184</v>
      </c>
      <c r="N276" s="40"/>
      <c r="O276" s="259"/>
      <c r="Q276" s="45"/>
      <c r="R276" s="213" t="str">
        <f>IF(AND(NOT(ISNUMBER(AB276)),NOT(ISNUMBER(AG276))),"",IF(ISNUMBER(AB276),AB276,0)+IF(ISNUMBER(AG276),AG276,0))</f>
        <v/>
      </c>
      <c r="S276" s="226" t="s">
        <v>160</v>
      </c>
      <c r="T276" s="211" t="str">
        <f>IFERROR(IF(ISNUMBER(L276),"Kohdetieto",VLOOKUP(C277,Kalusto!$C$45:$L$84,7,FALSE)),"--")</f>
        <v>--</v>
      </c>
      <c r="U276" s="211" t="str">
        <f>IFERROR(IF(ISNUMBER(L276),"Kohdetieto",VLOOKUP(C277,Kalusto!$C$45:$L$84,8,FALSE)),"--")</f>
        <v>--</v>
      </c>
      <c r="V276" s="212" t="str">
        <f>IFERROR(IF(ISNUMBER(L276),"Kohdetieto",VLOOKUP(C277,Kalusto!$C$45:$L$84,9,FALSE)),"--")</f>
        <v>--</v>
      </c>
      <c r="W276" s="212" t="str">
        <f>IFERROR(IF(ISNUMBER(L276),"Kohdetieto",VLOOKUP(C277,Kalusto!$C$45:$L$84,10,FALSE)),"--")</f>
        <v>--</v>
      </c>
      <c r="X276" s="213" t="str">
        <f>IF(ISBLANK(C276),"",IF(D276="t",C276,C276*G276))</f>
        <v/>
      </c>
      <c r="Y276" s="211" t="str">
        <f>IF(ISNUMBER(C279),C279,"")</f>
        <v/>
      </c>
      <c r="Z276" s="213" t="str">
        <f>IF(ISNUMBER(X276/(U276*V276)*Y276),X276/(U276*V276)*Y276,"")</f>
        <v/>
      </c>
      <c r="AA276" s="214" t="str">
        <f>IF(ISNUMBER(L276),L276,K276)</f>
        <v>--</v>
      </c>
      <c r="AB276" s="213" t="str">
        <f>IF(ISNUMBER(Y276*X276*K276),Y276*X276*K276,"")</f>
        <v/>
      </c>
      <c r="AC276" s="213" t="str">
        <f>IF(ISNUMBER(Y276),Y276,"")</f>
        <v/>
      </c>
      <c r="AD276" s="213" t="str">
        <f>IF(ISNUMBER(X276),IF(ISNUMBER(X276/(U276*V276)),CEILING(X276/(U276*V276),1),""),"")</f>
        <v/>
      </c>
      <c r="AE276" s="213" t="str">
        <f>IF(ISNUMBER(AD276*AC276),AD276*AC276,"")</f>
        <v/>
      </c>
      <c r="AF276" s="214" t="str">
        <f>IF(ISNUMBER(L277),L277,K277)</f>
        <v>--</v>
      </c>
      <c r="AG276" s="213" t="str">
        <f>IF(ISNUMBER(AC276*AD276*K277),AC276*AD276*K277,"")</f>
        <v/>
      </c>
      <c r="AH276" s="211">
        <f>IF(T276="Jakelukuorma-auto",0,IF(T276="Maansiirtoauto",4,IF(T276="Puoliperävaunu",6,8)))</f>
        <v>8</v>
      </c>
      <c r="AI276" s="211">
        <f>IF(AND(T276="Jakelukuorma-auto",U276=6),0,IF(AND(T276="Jakelukuorma-auto",U276=15),2,0))</f>
        <v>0</v>
      </c>
      <c r="AJ276" s="211">
        <f>IF(W276="maantieajo",0,1)</f>
        <v>1</v>
      </c>
      <c r="AK276" s="104"/>
      <c r="AL276" s="35"/>
      <c r="AM276" s="35"/>
      <c r="AN276" s="36"/>
      <c r="AO276" s="36"/>
      <c r="AP276" s="36"/>
      <c r="AQ276" s="36"/>
      <c r="AR276" s="36"/>
      <c r="AS276" s="36"/>
      <c r="AT276" s="36"/>
      <c r="AU276" s="36"/>
      <c r="AV276" s="36"/>
      <c r="AW276" s="36"/>
      <c r="AX276" s="36"/>
      <c r="AY276" s="36"/>
      <c r="AZ276" s="36"/>
      <c r="BA276" s="36"/>
      <c r="BB276" s="36"/>
      <c r="BC276" s="36"/>
      <c r="BD276" s="36"/>
      <c r="BE276" s="36"/>
    </row>
    <row r="277" spans="2:57" s="30" customFormat="1" ht="30" x14ac:dyDescent="0.2">
      <c r="B277" s="166" t="s">
        <v>499</v>
      </c>
      <c r="C277" s="471" t="s">
        <v>298</v>
      </c>
      <c r="D277" s="472"/>
      <c r="E277" s="472"/>
      <c r="F277" s="472"/>
      <c r="G277" s="473"/>
      <c r="J277" s="32" t="s">
        <v>396</v>
      </c>
      <c r="K277" s="92" t="str">
        <f>IFERROR(IF(ISNUMBER(L277),L277,(VLOOKUP(C277,Kalusto!$C$45:$V$84,19,FALSE)*(VLOOKUP(C278,Muut!$D$40:$E$43,2,FALSE)))),"--")</f>
        <v>--</v>
      </c>
      <c r="L277" s="39"/>
      <c r="M277" s="40" t="s">
        <v>188</v>
      </c>
      <c r="N277" s="40"/>
      <c r="O277" s="259"/>
      <c r="P277" s="33"/>
      <c r="Q277" s="50"/>
      <c r="R277" s="43"/>
      <c r="S277" s="43"/>
      <c r="T277" s="43"/>
      <c r="U277" s="43"/>
      <c r="V277" s="43"/>
      <c r="W277" s="43"/>
      <c r="X277" s="43"/>
      <c r="Y277" s="43"/>
      <c r="Z277" s="43"/>
      <c r="AA277" s="43"/>
      <c r="AB277" s="43"/>
      <c r="AC277" s="43"/>
      <c r="AD277" s="43"/>
      <c r="AE277" s="43"/>
      <c r="AF277" s="43"/>
      <c r="AG277" s="43"/>
      <c r="AH277" s="43"/>
      <c r="AI277" s="43"/>
      <c r="AJ277" s="43"/>
      <c r="AK277" s="104"/>
      <c r="AL277" s="35"/>
      <c r="AM277" s="35"/>
      <c r="AN277" s="36"/>
      <c r="AO277" s="36"/>
      <c r="AP277" s="36"/>
      <c r="AQ277" s="36"/>
      <c r="AR277" s="36"/>
      <c r="AS277" s="36"/>
      <c r="AT277" s="36"/>
      <c r="AU277" s="36"/>
      <c r="AV277" s="36"/>
      <c r="AW277" s="36"/>
      <c r="AX277" s="36"/>
      <c r="AY277" s="36"/>
      <c r="AZ277" s="36"/>
      <c r="BA277" s="36"/>
      <c r="BB277" s="36"/>
      <c r="BC277" s="36"/>
      <c r="BD277" s="36"/>
      <c r="BE277" s="36"/>
    </row>
    <row r="278" spans="2:57" s="30" customFormat="1" ht="15" x14ac:dyDescent="0.2">
      <c r="B278" s="182" t="s">
        <v>457</v>
      </c>
      <c r="C278" s="156" t="s">
        <v>309</v>
      </c>
      <c r="D278" s="33"/>
      <c r="E278" s="33"/>
      <c r="F278" s="33"/>
      <c r="G278" s="33"/>
      <c r="H278" s="57"/>
      <c r="J278" s="169"/>
      <c r="K278" s="169"/>
      <c r="L278" s="169"/>
      <c r="M278" s="40"/>
      <c r="N278" s="40"/>
      <c r="O278" s="259"/>
      <c r="Q278" s="45"/>
      <c r="R278" s="226"/>
      <c r="S278" s="226"/>
      <c r="T278" s="43"/>
      <c r="U278" s="43"/>
      <c r="V278" s="215"/>
      <c r="W278" s="215"/>
      <c r="X278" s="216"/>
      <c r="Y278" s="43"/>
      <c r="Z278" s="216"/>
      <c r="AA278" s="217"/>
      <c r="AB278" s="216"/>
      <c r="AC278" s="216"/>
      <c r="AD278" s="216"/>
      <c r="AE278" s="216"/>
      <c r="AF278" s="217"/>
      <c r="AG278" s="216"/>
      <c r="AH278" s="43"/>
      <c r="AI278" s="43"/>
      <c r="AJ278" s="43"/>
      <c r="AK278" s="104"/>
      <c r="AL278" s="35"/>
      <c r="AM278" s="35"/>
      <c r="AN278" s="36"/>
      <c r="AO278" s="36"/>
      <c r="AP278" s="36"/>
      <c r="AQ278" s="36"/>
      <c r="AR278" s="36"/>
      <c r="AS278" s="36"/>
      <c r="AT278" s="36"/>
      <c r="AU278" s="36"/>
      <c r="AV278" s="36"/>
      <c r="AW278" s="36"/>
      <c r="AX278" s="36"/>
      <c r="AY278" s="36"/>
      <c r="AZ278" s="36"/>
      <c r="BA278" s="36"/>
      <c r="BB278" s="36"/>
      <c r="BC278" s="36"/>
      <c r="BD278" s="36"/>
      <c r="BE278" s="36"/>
    </row>
    <row r="279" spans="2:57" s="30" customFormat="1" ht="15" x14ac:dyDescent="0.2">
      <c r="B279" s="44" t="s">
        <v>498</v>
      </c>
      <c r="C279" s="156"/>
      <c r="D279" s="81" t="s">
        <v>164</v>
      </c>
      <c r="G279" s="33"/>
      <c r="H279" s="81"/>
      <c r="I279" s="51"/>
      <c r="J279" s="51"/>
      <c r="K279" s="33"/>
      <c r="L279" s="33"/>
      <c r="M279" s="81"/>
      <c r="N279" s="81"/>
      <c r="O279" s="96"/>
      <c r="P279" s="51"/>
      <c r="Q279" s="50"/>
      <c r="R279" s="43"/>
      <c r="S279" s="43"/>
      <c r="T279" s="43"/>
      <c r="U279" s="43"/>
      <c r="V279" s="43"/>
      <c r="W279" s="43"/>
      <c r="X279" s="43"/>
      <c r="Y279" s="43"/>
      <c r="Z279" s="43"/>
      <c r="AA279" s="43"/>
      <c r="AB279" s="43"/>
      <c r="AC279" s="43"/>
      <c r="AD279" s="43"/>
      <c r="AE279" s="43"/>
      <c r="AF279" s="43"/>
      <c r="AG279" s="43"/>
      <c r="AH279" s="43"/>
      <c r="AI279" s="43"/>
      <c r="AJ279" s="43"/>
      <c r="AK279" s="104"/>
      <c r="AL279" s="35"/>
      <c r="AM279" s="35"/>
      <c r="AN279" s="36"/>
      <c r="AO279" s="36"/>
      <c r="AP279" s="36"/>
      <c r="AQ279" s="36"/>
      <c r="AR279" s="36"/>
      <c r="AS279" s="36"/>
      <c r="AT279" s="36"/>
      <c r="AU279" s="36"/>
      <c r="AV279" s="36"/>
      <c r="AW279" s="36"/>
      <c r="AX279" s="36"/>
      <c r="AY279" s="36"/>
      <c r="AZ279" s="36"/>
      <c r="BA279" s="36"/>
      <c r="BB279" s="36"/>
      <c r="BC279" s="36"/>
      <c r="BD279" s="36"/>
      <c r="BE279" s="36"/>
    </row>
    <row r="280" spans="2:57" s="30" customFormat="1" ht="15" x14ac:dyDescent="0.2">
      <c r="B280" s="151" t="s">
        <v>4</v>
      </c>
      <c r="C280" s="33"/>
      <c r="D280" s="81"/>
      <c r="G280" s="33"/>
      <c r="H280" s="81"/>
      <c r="J280" s="32"/>
      <c r="K280" s="37" t="s">
        <v>297</v>
      </c>
      <c r="L280" s="37" t="s">
        <v>185</v>
      </c>
      <c r="M280" s="81"/>
      <c r="N280" s="81"/>
      <c r="O280" s="96"/>
      <c r="P280" s="33"/>
      <c r="Q280" s="34"/>
      <c r="R280" s="43" t="s">
        <v>318</v>
      </c>
      <c r="S280" s="43"/>
      <c r="T280" s="43" t="s">
        <v>400</v>
      </c>
      <c r="U280" s="43" t="s">
        <v>399</v>
      </c>
      <c r="V280" s="43" t="s">
        <v>397</v>
      </c>
      <c r="W280" s="43" t="s">
        <v>398</v>
      </c>
      <c r="X280" s="43" t="s">
        <v>401</v>
      </c>
      <c r="Y280" s="43" t="s">
        <v>403</v>
      </c>
      <c r="Z280" s="43" t="s">
        <v>402</v>
      </c>
      <c r="AA280" s="43" t="s">
        <v>186</v>
      </c>
      <c r="AB280" s="43" t="s">
        <v>345</v>
      </c>
      <c r="AC280" s="43" t="s">
        <v>404</v>
      </c>
      <c r="AD280" s="43" t="s">
        <v>346</v>
      </c>
      <c r="AE280" s="43" t="s">
        <v>405</v>
      </c>
      <c r="AF280" s="43" t="s">
        <v>406</v>
      </c>
      <c r="AG280" s="43" t="s">
        <v>578</v>
      </c>
      <c r="AH280" s="43" t="s">
        <v>190</v>
      </c>
      <c r="AI280" s="43" t="s">
        <v>249</v>
      </c>
      <c r="AJ280" s="43" t="s">
        <v>191</v>
      </c>
      <c r="AK280" s="104"/>
      <c r="AL280" s="35"/>
      <c r="AM280" s="35"/>
      <c r="AN280" s="36"/>
      <c r="AO280" s="36"/>
      <c r="AP280" s="36"/>
      <c r="AQ280" s="36"/>
      <c r="AR280" s="36"/>
      <c r="AS280" s="36"/>
      <c r="AT280" s="36"/>
      <c r="AU280" s="36"/>
      <c r="AV280" s="36"/>
      <c r="AW280" s="36"/>
      <c r="AX280" s="36"/>
      <c r="AY280" s="36"/>
      <c r="AZ280" s="36"/>
      <c r="BA280" s="36"/>
      <c r="BB280" s="36"/>
      <c r="BC280" s="36"/>
      <c r="BD280" s="36"/>
      <c r="BE280" s="36"/>
    </row>
    <row r="281" spans="2:57" s="30" customFormat="1" ht="30" x14ac:dyDescent="0.2">
      <c r="B281" s="166" t="s">
        <v>501</v>
      </c>
      <c r="C281" s="157"/>
      <c r="D281" s="86" t="s">
        <v>52</v>
      </c>
      <c r="E281" s="57"/>
      <c r="F281" s="55"/>
      <c r="G281" s="157"/>
      <c r="H281" s="81" t="str">
        <f>IF(D281="t","","t/m3")</f>
        <v/>
      </c>
      <c r="J281" s="169" t="s">
        <v>395</v>
      </c>
      <c r="K281" s="92" t="str">
        <f>IFERROR(IF(ISNUMBER(L281),L281,(VLOOKUP(C282,Kalusto!$C$45:$G$84,5,FALSE)*VLOOKUP(C283,Muut!$D$40:$E$43,2,FALSE))),"--")</f>
        <v>--</v>
      </c>
      <c r="L281" s="39"/>
      <c r="M281" s="40" t="s">
        <v>184</v>
      </c>
      <c r="N281" s="40"/>
      <c r="O281" s="259"/>
      <c r="Q281" s="45"/>
      <c r="R281" s="213" t="str">
        <f>IF(AND(NOT(ISNUMBER(AB281)),NOT(ISNUMBER(AG281))),"",IF(ISNUMBER(AB281),AB281,0)+IF(ISNUMBER(AG281),AG281,0))</f>
        <v/>
      </c>
      <c r="S281" s="226" t="s">
        <v>160</v>
      </c>
      <c r="T281" s="211" t="str">
        <f>IFERROR(IF(ISNUMBER(L281),"Kohdetieto",VLOOKUP(C282,Kalusto!$C$45:$L$84,7,FALSE)),"--")</f>
        <v>--</v>
      </c>
      <c r="U281" s="211" t="str">
        <f>IFERROR(IF(ISNUMBER(L281),"Kohdetieto",VLOOKUP(C282,Kalusto!$C$45:$L$84,8,FALSE)),"--")</f>
        <v>--</v>
      </c>
      <c r="V281" s="212" t="str">
        <f>IFERROR(IF(ISNUMBER(L281),"Kohdetieto",VLOOKUP(C282,Kalusto!$C$45:$L$84,9,FALSE)),"--")</f>
        <v>--</v>
      </c>
      <c r="W281" s="212" t="str">
        <f>IFERROR(IF(ISNUMBER(L281),"Kohdetieto",VLOOKUP(C282,Kalusto!$C$45:$L$84,10,FALSE)),"--")</f>
        <v>--</v>
      </c>
      <c r="X281" s="213" t="str">
        <f>IF(ISBLANK(C281),"",IF(D281="t",C281,C281*G281))</f>
        <v/>
      </c>
      <c r="Y281" s="211" t="str">
        <f>IF(ISNUMBER(C284),C284,"")</f>
        <v/>
      </c>
      <c r="Z281" s="213" t="str">
        <f>IF(ISNUMBER(X281/(U281*V281)*Y281),X281/(U281*V281)*Y281,"")</f>
        <v/>
      </c>
      <c r="AA281" s="214" t="str">
        <f>IF(ISNUMBER(L281),L281,K281)</f>
        <v>--</v>
      </c>
      <c r="AB281" s="213" t="str">
        <f>IF(ISNUMBER(Y281*X281*K281),Y281*X281*K281,"")</f>
        <v/>
      </c>
      <c r="AC281" s="213" t="str">
        <f>IF(ISNUMBER(Y281),Y281,"")</f>
        <v/>
      </c>
      <c r="AD281" s="213" t="str">
        <f>IF(ISNUMBER(X281),IF(ISNUMBER(X281/(U281*V281)),CEILING(X281/(U281*V281),1),""),"")</f>
        <v/>
      </c>
      <c r="AE281" s="213" t="str">
        <f>IF(ISNUMBER(AD281*AC281),AD281*AC281,"")</f>
        <v/>
      </c>
      <c r="AF281" s="214" t="str">
        <f>IF(ISNUMBER(L282),L282,K282)</f>
        <v>--</v>
      </c>
      <c r="AG281" s="213" t="str">
        <f>IF(ISNUMBER(AC281*AD281*K282),AC281*AD281*K282,"")</f>
        <v/>
      </c>
      <c r="AH281" s="211">
        <f>IF(T281="Jakelukuorma-auto",0,IF(T281="Maansiirtoauto",4,IF(T281="Puoliperävaunu",6,8)))</f>
        <v>8</v>
      </c>
      <c r="AI281" s="211">
        <f>IF(AND(T281="Jakelukuorma-auto",U281=6),0,IF(AND(T281="Jakelukuorma-auto",U281=15),2,0))</f>
        <v>0</v>
      </c>
      <c r="AJ281" s="211">
        <f>IF(W281="maantieajo",0,1)</f>
        <v>1</v>
      </c>
      <c r="AK281" s="104"/>
      <c r="AL281" s="35"/>
      <c r="AM281" s="35"/>
      <c r="AN281" s="36"/>
      <c r="AO281" s="36"/>
      <c r="AP281" s="36"/>
      <c r="AQ281" s="36"/>
      <c r="AR281" s="36"/>
      <c r="AS281" s="36"/>
      <c r="AT281" s="36"/>
      <c r="AU281" s="36"/>
      <c r="AV281" s="36"/>
      <c r="AW281" s="36"/>
      <c r="AX281" s="36"/>
      <c r="AY281" s="36"/>
      <c r="AZ281" s="36"/>
      <c r="BA281" s="36"/>
      <c r="BB281" s="36"/>
      <c r="BC281" s="36"/>
      <c r="BD281" s="36"/>
      <c r="BE281" s="36"/>
    </row>
    <row r="282" spans="2:57" s="30" customFormat="1" ht="30" x14ac:dyDescent="0.2">
      <c r="B282" s="166" t="s">
        <v>499</v>
      </c>
      <c r="C282" s="471" t="s">
        <v>298</v>
      </c>
      <c r="D282" s="472"/>
      <c r="E282" s="472"/>
      <c r="F282" s="472"/>
      <c r="G282" s="473"/>
      <c r="I282" s="57"/>
      <c r="J282" s="32" t="s">
        <v>396</v>
      </c>
      <c r="K282" s="92" t="str">
        <f>IFERROR(IF(ISNUMBER(L282),L282,(VLOOKUP(C282,Kalusto!$C$45:$V$84,19,FALSE)*(VLOOKUP(C283,Muut!$D$40:$E$43,2,FALSE)))),"--")</f>
        <v>--</v>
      </c>
      <c r="L282" s="39"/>
      <c r="M282" s="40" t="s">
        <v>188</v>
      </c>
      <c r="N282" s="40"/>
      <c r="O282" s="259"/>
      <c r="P282" s="33"/>
      <c r="Q282" s="50"/>
      <c r="R282" s="102"/>
      <c r="S282" s="43"/>
      <c r="T282" s="43"/>
      <c r="U282" s="43"/>
      <c r="V282" s="43"/>
      <c r="W282" s="43"/>
      <c r="X282" s="43"/>
      <c r="Y282" s="43"/>
      <c r="Z282" s="43"/>
      <c r="AA282" s="43"/>
      <c r="AB282" s="43"/>
      <c r="AC282" s="43"/>
      <c r="AD282" s="43"/>
      <c r="AE282" s="43"/>
      <c r="AF282" s="43"/>
      <c r="AG282" s="43"/>
      <c r="AH282" s="43"/>
      <c r="AI282" s="43"/>
      <c r="AJ282" s="43"/>
      <c r="AK282" s="35"/>
      <c r="AL282" s="35"/>
      <c r="AM282" s="35"/>
      <c r="AN282" s="36"/>
      <c r="AO282" s="36"/>
      <c r="AP282" s="36"/>
      <c r="AQ282" s="36"/>
      <c r="AR282" s="36"/>
      <c r="AS282" s="36"/>
      <c r="AT282" s="36"/>
      <c r="AU282" s="36"/>
      <c r="AV282" s="36"/>
      <c r="AW282" s="36"/>
      <c r="AX282" s="36"/>
      <c r="AY282" s="36"/>
      <c r="AZ282" s="36"/>
      <c r="BA282" s="36"/>
      <c r="BB282" s="36"/>
      <c r="BC282" s="36"/>
      <c r="BD282" s="36"/>
      <c r="BE282" s="36"/>
    </row>
    <row r="283" spans="2:57" s="30" customFormat="1" ht="15" x14ac:dyDescent="0.2">
      <c r="B283" s="182" t="s">
        <v>457</v>
      </c>
      <c r="C283" s="156" t="s">
        <v>309</v>
      </c>
      <c r="D283" s="33"/>
      <c r="E283" s="33"/>
      <c r="F283" s="33"/>
      <c r="G283" s="33"/>
      <c r="H283" s="57"/>
      <c r="J283" s="169"/>
      <c r="K283" s="169"/>
      <c r="L283" s="169"/>
      <c r="M283" s="40"/>
      <c r="N283" s="40"/>
      <c r="O283" s="259"/>
      <c r="Q283" s="45"/>
      <c r="R283" s="226"/>
      <c r="S283" s="226"/>
      <c r="T283" s="43"/>
      <c r="U283" s="43"/>
      <c r="V283" s="215"/>
      <c r="W283" s="215"/>
      <c r="X283" s="216"/>
      <c r="Y283" s="43"/>
      <c r="Z283" s="216"/>
      <c r="AA283" s="217"/>
      <c r="AB283" s="216"/>
      <c r="AC283" s="216"/>
      <c r="AD283" s="216"/>
      <c r="AE283" s="216"/>
      <c r="AF283" s="217"/>
      <c r="AG283" s="216"/>
      <c r="AH283" s="43"/>
      <c r="AI283" s="43"/>
      <c r="AJ283" s="43"/>
      <c r="AK283" s="104"/>
      <c r="AL283" s="35"/>
      <c r="AM283" s="35"/>
      <c r="AN283" s="36"/>
      <c r="AO283" s="36"/>
      <c r="AP283" s="36"/>
      <c r="AQ283" s="36"/>
      <c r="AR283" s="36"/>
      <c r="AS283" s="36"/>
      <c r="AT283" s="36"/>
      <c r="AU283" s="36"/>
      <c r="AV283" s="36"/>
      <c r="AW283" s="36"/>
      <c r="AX283" s="36"/>
      <c r="AY283" s="36"/>
      <c r="AZ283" s="36"/>
      <c r="BA283" s="36"/>
      <c r="BB283" s="36"/>
      <c r="BC283" s="36"/>
      <c r="BD283" s="36"/>
      <c r="BE283" s="36"/>
    </row>
    <row r="284" spans="2:57" s="30" customFormat="1" ht="15" x14ac:dyDescent="0.2">
      <c r="B284" s="44" t="s">
        <v>498</v>
      </c>
      <c r="C284" s="158"/>
      <c r="D284" s="81" t="s">
        <v>5</v>
      </c>
      <c r="G284" s="33"/>
      <c r="H284" s="81"/>
      <c r="I284" s="51"/>
      <c r="J284" s="51"/>
      <c r="K284" s="33"/>
      <c r="L284" s="33"/>
      <c r="M284" s="81"/>
      <c r="N284" s="81"/>
      <c r="O284" s="96"/>
      <c r="P284" s="51"/>
      <c r="Q284" s="50"/>
      <c r="R284" s="102"/>
      <c r="S284" s="43"/>
      <c r="T284" s="43"/>
      <c r="U284" s="43"/>
      <c r="V284" s="43"/>
      <c r="W284" s="43"/>
      <c r="X284" s="43"/>
      <c r="Y284" s="43"/>
      <c r="Z284" s="43"/>
      <c r="AA284" s="43"/>
      <c r="AB284" s="43"/>
      <c r="AC284" s="43"/>
      <c r="AD284" s="43"/>
      <c r="AE284" s="43"/>
      <c r="AF284" s="43"/>
      <c r="AG284" s="43"/>
      <c r="AH284" s="43"/>
      <c r="AI284" s="43"/>
      <c r="AJ284" s="43"/>
      <c r="AK284" s="35"/>
      <c r="AL284" s="35"/>
      <c r="AM284" s="35"/>
      <c r="AN284" s="36"/>
      <c r="AO284" s="36"/>
      <c r="AP284" s="36"/>
      <c r="AQ284" s="36"/>
      <c r="AR284" s="36"/>
      <c r="AS284" s="36"/>
      <c r="AT284" s="36"/>
      <c r="AU284" s="36"/>
      <c r="AV284" s="36"/>
      <c r="AW284" s="36"/>
      <c r="AX284" s="36"/>
      <c r="AY284" s="36"/>
      <c r="AZ284" s="36"/>
      <c r="BA284" s="36"/>
      <c r="BB284" s="36"/>
      <c r="BC284" s="36"/>
      <c r="BD284" s="36"/>
      <c r="BE284" s="36"/>
    </row>
    <row r="285" spans="2:57" s="30" customFormat="1" ht="15" x14ac:dyDescent="0.2">
      <c r="B285" s="52"/>
      <c r="C285" s="33"/>
      <c r="D285" s="57"/>
      <c r="E285" s="56"/>
      <c r="F285" s="56"/>
      <c r="G285" s="33"/>
      <c r="H285" s="81"/>
      <c r="J285" s="32"/>
      <c r="K285" s="33"/>
      <c r="L285" s="33"/>
      <c r="M285" s="81"/>
      <c r="N285" s="81"/>
      <c r="O285" s="96"/>
      <c r="Q285" s="34"/>
      <c r="R285" s="102"/>
      <c r="S285" s="43"/>
      <c r="T285" s="43"/>
      <c r="U285" s="43"/>
      <c r="V285" s="43"/>
      <c r="W285" s="43"/>
      <c r="X285" s="43"/>
      <c r="Y285" s="43"/>
      <c r="Z285" s="43"/>
      <c r="AA285" s="43"/>
      <c r="AB285" s="43"/>
      <c r="AC285" s="43"/>
      <c r="AD285" s="43"/>
      <c r="AE285" s="43"/>
      <c r="AF285" s="43"/>
      <c r="AG285" s="43"/>
      <c r="AH285" s="43"/>
      <c r="AI285" s="43"/>
      <c r="AJ285" s="43"/>
      <c r="AK285" s="35"/>
      <c r="AL285" s="35"/>
      <c r="AM285" s="35"/>
      <c r="AN285" s="36"/>
      <c r="AO285" s="36"/>
      <c r="AP285" s="36"/>
      <c r="AQ285" s="36"/>
      <c r="AR285" s="36"/>
      <c r="AS285" s="36"/>
      <c r="AT285" s="36"/>
      <c r="AU285" s="36"/>
      <c r="AV285" s="36"/>
      <c r="AW285" s="36"/>
      <c r="AX285" s="36"/>
      <c r="AY285" s="36"/>
      <c r="AZ285" s="36"/>
      <c r="BA285" s="36"/>
      <c r="BB285" s="36"/>
      <c r="BC285" s="36"/>
      <c r="BD285" s="36"/>
      <c r="BE285" s="36"/>
    </row>
    <row r="286" spans="2:57" s="30" customFormat="1" ht="15" x14ac:dyDescent="0.2">
      <c r="B286" s="173" t="s">
        <v>502</v>
      </c>
      <c r="C286" s="33"/>
      <c r="D286" s="57"/>
      <c r="E286" s="56"/>
      <c r="F286" s="56"/>
      <c r="G286" s="33"/>
      <c r="H286" s="81"/>
      <c r="J286" s="32"/>
      <c r="K286" s="33"/>
      <c r="L286" s="33"/>
      <c r="M286" s="81"/>
      <c r="N286" s="81"/>
      <c r="O286" s="96"/>
      <c r="Q286" s="34"/>
      <c r="R286" s="102"/>
      <c r="S286" s="43"/>
      <c r="T286" s="43"/>
      <c r="U286" s="43"/>
      <c r="V286" s="43"/>
      <c r="W286" s="43"/>
      <c r="X286" s="43"/>
      <c r="Y286" s="43"/>
      <c r="Z286" s="43"/>
      <c r="AA286" s="43"/>
      <c r="AB286" s="43"/>
      <c r="AC286" s="43"/>
      <c r="AD286" s="43"/>
      <c r="AE286" s="43"/>
      <c r="AF286" s="43"/>
      <c r="AG286" s="43"/>
      <c r="AH286" s="43"/>
      <c r="AI286" s="43"/>
      <c r="AJ286" s="43"/>
      <c r="AK286" s="35"/>
      <c r="AL286" s="35"/>
      <c r="AM286" s="35"/>
      <c r="AN286" s="36"/>
      <c r="AO286" s="36"/>
      <c r="AP286" s="36"/>
      <c r="AQ286" s="36"/>
      <c r="AR286" s="36"/>
      <c r="AS286" s="36"/>
      <c r="AT286" s="36"/>
      <c r="AU286" s="36"/>
      <c r="AV286" s="36"/>
      <c r="AW286" s="36"/>
      <c r="AX286" s="36"/>
      <c r="AY286" s="36"/>
      <c r="AZ286" s="36"/>
      <c r="BA286" s="36"/>
      <c r="BB286" s="36"/>
      <c r="BC286" s="36"/>
      <c r="BD286" s="36"/>
      <c r="BE286" s="36"/>
    </row>
    <row r="287" spans="2:57" s="30" customFormat="1" ht="15" x14ac:dyDescent="0.2">
      <c r="B287" s="52"/>
      <c r="C287" s="33"/>
      <c r="D287" s="57"/>
      <c r="E287" s="56"/>
      <c r="F287" s="56"/>
      <c r="G287" s="33"/>
      <c r="H287" s="81"/>
      <c r="J287" s="32"/>
      <c r="K287" s="33"/>
      <c r="L287" s="33"/>
      <c r="M287" s="81"/>
      <c r="N287" s="81"/>
      <c r="O287" s="81"/>
      <c r="Q287" s="34"/>
      <c r="R287" s="102"/>
      <c r="S287" s="43"/>
      <c r="T287" s="43"/>
      <c r="U287" s="43"/>
      <c r="V287" s="43"/>
      <c r="W287" s="43"/>
      <c r="X287" s="43"/>
      <c r="Y287" s="43"/>
      <c r="Z287" s="43"/>
      <c r="AA287" s="43"/>
      <c r="AB287" s="43"/>
      <c r="AC287" s="43"/>
      <c r="AD287" s="43"/>
      <c r="AE287" s="43"/>
      <c r="AF287" s="43"/>
      <c r="AG287" s="43"/>
      <c r="AH287" s="43"/>
      <c r="AI287" s="43"/>
      <c r="AJ287" s="43"/>
      <c r="AK287" s="35"/>
      <c r="AL287" s="35"/>
      <c r="AM287" s="35"/>
      <c r="AN287" s="36"/>
      <c r="AO287" s="36"/>
      <c r="AP287" s="36"/>
      <c r="AQ287" s="36"/>
      <c r="AR287" s="36"/>
      <c r="AS287" s="36"/>
      <c r="AT287" s="36"/>
      <c r="AU287" s="36"/>
      <c r="AV287" s="36"/>
      <c r="AW287" s="36"/>
      <c r="AX287" s="36"/>
      <c r="AY287" s="36"/>
      <c r="AZ287" s="36"/>
      <c r="BA287" s="36"/>
      <c r="BB287" s="36"/>
      <c r="BC287" s="36"/>
      <c r="BD287" s="36"/>
      <c r="BE287" s="36"/>
    </row>
    <row r="288" spans="2:57" s="289" customFormat="1" ht="18" x14ac:dyDescent="0.2">
      <c r="B288" s="286" t="s">
        <v>41</v>
      </c>
      <c r="C288" s="287"/>
      <c r="D288" s="288"/>
      <c r="G288" s="287"/>
      <c r="H288" s="288"/>
      <c r="K288" s="287"/>
      <c r="L288" s="287"/>
      <c r="M288" s="288"/>
      <c r="N288" s="288"/>
      <c r="O288" s="291"/>
      <c r="P288" s="311"/>
      <c r="Q288" s="295"/>
      <c r="S288" s="294"/>
      <c r="T288" s="294"/>
      <c r="U288" s="294"/>
      <c r="V288" s="294"/>
      <c r="W288" s="294"/>
      <c r="X288" s="294"/>
      <c r="Y288" s="294"/>
      <c r="Z288" s="294"/>
      <c r="AA288" s="294"/>
      <c r="AB288" s="294"/>
      <c r="AC288" s="294"/>
      <c r="AD288" s="294"/>
      <c r="AE288" s="294"/>
      <c r="AF288" s="294"/>
      <c r="AG288" s="294"/>
      <c r="AH288" s="294"/>
      <c r="AI288" s="294"/>
      <c r="AJ288" s="294"/>
      <c r="AK288" s="294"/>
      <c r="AL288" s="294"/>
      <c r="AM288" s="294"/>
      <c r="AN288" s="295"/>
      <c r="AO288" s="295"/>
      <c r="AP288" s="295"/>
      <c r="AQ288" s="295"/>
      <c r="AR288" s="295"/>
      <c r="AS288" s="295"/>
      <c r="AT288" s="295"/>
      <c r="AU288" s="295"/>
      <c r="AV288" s="295"/>
      <c r="AW288" s="295"/>
      <c r="AX288" s="295"/>
      <c r="AY288" s="295"/>
      <c r="AZ288" s="295"/>
      <c r="BA288" s="295"/>
      <c r="BB288" s="295"/>
      <c r="BC288" s="295"/>
      <c r="BD288" s="295"/>
      <c r="BE288" s="295"/>
    </row>
    <row r="289" spans="2:57" s="30" customFormat="1" ht="15.75" x14ac:dyDescent="0.2">
      <c r="B289" s="8"/>
      <c r="C289" s="33"/>
      <c r="D289" s="81"/>
      <c r="G289" s="33"/>
      <c r="H289" s="81"/>
      <c r="J289" s="32"/>
      <c r="K289" s="33"/>
      <c r="L289" s="33"/>
      <c r="M289" s="81"/>
      <c r="N289" s="81"/>
      <c r="O289" s="81"/>
      <c r="Q289" s="34"/>
      <c r="R289" s="102"/>
      <c r="S289" s="43"/>
      <c r="T289" s="43"/>
      <c r="U289" s="43"/>
      <c r="V289" s="43"/>
      <c r="W289" s="43"/>
      <c r="X289" s="43"/>
      <c r="Y289" s="43"/>
      <c r="Z289" s="43"/>
      <c r="AA289" s="43"/>
      <c r="AB289" s="43"/>
      <c r="AC289" s="43"/>
      <c r="AD289" s="43"/>
      <c r="AE289" s="43"/>
      <c r="AF289" s="43"/>
      <c r="AG289" s="43"/>
      <c r="AH289" s="43"/>
      <c r="AI289" s="43"/>
      <c r="AJ289" s="43"/>
      <c r="AK289" s="35"/>
      <c r="AL289" s="35"/>
      <c r="AM289" s="35"/>
      <c r="AN289" s="36"/>
      <c r="AO289" s="36"/>
      <c r="AP289" s="36"/>
      <c r="AQ289" s="36"/>
      <c r="AR289" s="36"/>
      <c r="AS289" s="36"/>
      <c r="AT289" s="36"/>
      <c r="AU289" s="36"/>
      <c r="AV289" s="36"/>
      <c r="AW289" s="36"/>
      <c r="AX289" s="36"/>
      <c r="AY289" s="36"/>
      <c r="AZ289" s="36"/>
      <c r="BA289" s="36"/>
      <c r="BB289" s="36"/>
      <c r="BC289" s="36"/>
      <c r="BD289" s="36"/>
      <c r="BE289" s="36"/>
    </row>
    <row r="290" spans="2:57" s="30" customFormat="1" ht="15.75" x14ac:dyDescent="0.2">
      <c r="B290" s="8" t="s">
        <v>545</v>
      </c>
      <c r="C290" s="33"/>
      <c r="D290" s="81"/>
      <c r="G290" s="33"/>
      <c r="H290" s="81"/>
      <c r="J290" s="32"/>
      <c r="K290" s="37"/>
      <c r="L290" s="37"/>
      <c r="M290" s="81"/>
      <c r="N290" s="81"/>
      <c r="O290" s="249" t="s">
        <v>584</v>
      </c>
      <c r="Q290" s="34"/>
      <c r="R290" s="43"/>
      <c r="S290" s="43"/>
      <c r="T290" s="43"/>
      <c r="U290" s="43"/>
      <c r="V290" s="43"/>
      <c r="W290" s="43"/>
      <c r="X290" s="43"/>
      <c r="Y290" s="43"/>
      <c r="Z290" s="43"/>
      <c r="AA290" s="43"/>
      <c r="AB290" s="43"/>
      <c r="AC290" s="43"/>
      <c r="AD290" s="43"/>
      <c r="AE290" s="43"/>
      <c r="AF290" s="43"/>
      <c r="AG290" s="43"/>
      <c r="AH290" s="43"/>
      <c r="AI290" s="43"/>
      <c r="AJ290" s="43"/>
      <c r="AK290" s="35"/>
      <c r="AL290" s="35"/>
      <c r="AM290" s="35"/>
      <c r="AN290" s="36"/>
      <c r="AO290" s="36"/>
      <c r="AP290" s="36"/>
      <c r="AQ290" s="36"/>
      <c r="AR290" s="36"/>
      <c r="AS290" s="36"/>
      <c r="AT290" s="36"/>
      <c r="AU290" s="36"/>
      <c r="AV290" s="36"/>
      <c r="AW290" s="36"/>
      <c r="AX290" s="36"/>
      <c r="AY290" s="36"/>
      <c r="AZ290" s="36"/>
      <c r="BA290" s="36"/>
      <c r="BB290" s="36"/>
      <c r="BC290" s="36"/>
      <c r="BD290" s="36"/>
      <c r="BE290" s="36"/>
    </row>
    <row r="291" spans="2:57" s="30" customFormat="1" ht="15.75" x14ac:dyDescent="0.2">
      <c r="B291" s="8"/>
      <c r="C291" s="33"/>
      <c r="D291" s="81"/>
      <c r="G291" s="33"/>
      <c r="H291" s="81"/>
      <c r="J291" s="32"/>
      <c r="K291" s="37" t="s">
        <v>297</v>
      </c>
      <c r="L291" s="37" t="s">
        <v>185</v>
      </c>
      <c r="M291" s="81"/>
      <c r="N291" s="81"/>
      <c r="O291" s="250"/>
      <c r="Q291" s="34"/>
      <c r="R291" s="43" t="s">
        <v>318</v>
      </c>
      <c r="S291" s="43"/>
      <c r="T291" s="43"/>
      <c r="U291" s="43"/>
      <c r="V291" s="43"/>
      <c r="W291" s="43"/>
      <c r="X291" s="43"/>
      <c r="Y291" s="43"/>
      <c r="Z291" s="43"/>
      <c r="AA291" s="43"/>
      <c r="AB291" s="43"/>
      <c r="AC291" s="43"/>
      <c r="AD291" s="43"/>
      <c r="AE291" s="43"/>
      <c r="AF291" s="43"/>
      <c r="AG291" s="43"/>
      <c r="AH291" s="43"/>
      <c r="AI291" s="43"/>
      <c r="AJ291" s="43"/>
      <c r="AK291" s="35"/>
      <c r="AL291" s="35"/>
      <c r="AM291" s="35"/>
      <c r="AN291" s="36"/>
      <c r="AO291" s="36"/>
      <c r="AP291" s="36"/>
      <c r="AQ291" s="36"/>
      <c r="AR291" s="36"/>
      <c r="AS291" s="36"/>
      <c r="AT291" s="36"/>
      <c r="AU291" s="36"/>
      <c r="AV291" s="36"/>
      <c r="AW291" s="36"/>
      <c r="AX291" s="36"/>
      <c r="AY291" s="36"/>
      <c r="AZ291" s="36"/>
      <c r="BA291" s="36"/>
      <c r="BB291" s="36"/>
      <c r="BC291" s="36"/>
      <c r="BD291" s="36"/>
      <c r="BE291" s="36"/>
    </row>
    <row r="292" spans="2:57" s="30" customFormat="1" ht="30" x14ac:dyDescent="0.2">
      <c r="B292" s="83" t="s">
        <v>500</v>
      </c>
      <c r="C292" s="156"/>
      <c r="D292" s="81" t="s">
        <v>163</v>
      </c>
      <c r="G292" s="33"/>
      <c r="H292" s="81"/>
      <c r="J292" s="32" t="s">
        <v>513</v>
      </c>
      <c r="K292" s="92">
        <f>IF(ISNUMBER(L292),L292,Muut!$F$29*IF(OR(C293=Pudotusvalikot!$V$3,C293=Pudotusvalikot!$V$4),Muut!$E$40,IF(C293=Pudotusvalikot!$V$5,Muut!$E$41,IF(C293=Pudotusvalikot!$V$6,Muut!$E$42,Muut!$E$43))))</f>
        <v>0.22753333333333334</v>
      </c>
      <c r="L292" s="61"/>
      <c r="M292" s="40" t="s">
        <v>207</v>
      </c>
      <c r="N292" s="40"/>
      <c r="O292" s="259"/>
      <c r="Q292" s="34"/>
      <c r="R292" s="236" t="str">
        <f>IF(AND(ISNUMBER(K292),ISNUMBER(C292)),K292*C292,"")</f>
        <v/>
      </c>
      <c r="S292" s="226" t="s">
        <v>160</v>
      </c>
      <c r="T292" s="216"/>
      <c r="U292" s="216"/>
      <c r="V292" s="216"/>
      <c r="W292" s="43"/>
      <c r="X292" s="43"/>
      <c r="Y292" s="43"/>
      <c r="Z292" s="43"/>
      <c r="AA292" s="43"/>
      <c r="AB292" s="43"/>
      <c r="AC292" s="43"/>
      <c r="AD292" s="43"/>
      <c r="AE292" s="43"/>
      <c r="AF292" s="43"/>
      <c r="AG292" s="43"/>
      <c r="AH292" s="43"/>
      <c r="AI292" s="43"/>
      <c r="AJ292" s="43"/>
      <c r="AK292" s="35"/>
      <c r="AL292" s="35"/>
      <c r="AM292" s="35"/>
      <c r="AN292" s="36"/>
      <c r="AO292" s="36"/>
      <c r="AP292" s="36"/>
      <c r="AQ292" s="36"/>
      <c r="AR292" s="36"/>
      <c r="AS292" s="36"/>
      <c r="AT292" s="36"/>
      <c r="AU292" s="36"/>
      <c r="AV292" s="36"/>
      <c r="AW292" s="36"/>
      <c r="AX292" s="36"/>
      <c r="AY292" s="36"/>
      <c r="AZ292" s="36"/>
      <c r="BA292" s="36"/>
      <c r="BB292" s="36"/>
      <c r="BC292" s="36"/>
      <c r="BD292" s="36"/>
      <c r="BE292" s="36"/>
    </row>
    <row r="293" spans="2:57" s="30" customFormat="1" ht="15" x14ac:dyDescent="0.2">
      <c r="B293" s="166" t="s">
        <v>460</v>
      </c>
      <c r="C293" s="156" t="s">
        <v>223</v>
      </c>
      <c r="D293" s="33"/>
      <c r="E293" s="33"/>
      <c r="F293" s="33"/>
      <c r="G293" s="33"/>
      <c r="H293" s="33"/>
      <c r="I293" s="33"/>
      <c r="J293" s="169"/>
      <c r="K293" s="169"/>
      <c r="L293" s="169"/>
      <c r="M293" s="40"/>
      <c r="N293" s="40"/>
      <c r="O293" s="259"/>
      <c r="Q293" s="45"/>
      <c r="R293" s="216"/>
      <c r="S293" s="226"/>
      <c r="T293" s="43"/>
      <c r="U293" s="43"/>
      <c r="V293" s="215"/>
      <c r="W293" s="215"/>
      <c r="X293" s="216"/>
      <c r="Y293" s="43"/>
      <c r="Z293" s="216"/>
      <c r="AA293" s="217"/>
      <c r="AB293" s="216"/>
      <c r="AC293" s="216"/>
      <c r="AD293" s="216"/>
      <c r="AE293" s="216"/>
      <c r="AF293" s="217"/>
      <c r="AG293" s="216"/>
      <c r="AH293" s="43"/>
      <c r="AI293" s="43"/>
      <c r="AJ293" s="43"/>
      <c r="AK293" s="104"/>
      <c r="AL293" s="35"/>
      <c r="AM293" s="35"/>
      <c r="AN293" s="36"/>
      <c r="AO293" s="36"/>
      <c r="AP293" s="36"/>
      <c r="AQ293" s="36"/>
      <c r="AR293" s="36"/>
      <c r="AS293" s="36"/>
      <c r="AT293" s="36"/>
      <c r="AU293" s="36"/>
      <c r="AV293" s="36"/>
      <c r="AW293" s="36"/>
      <c r="AX293" s="36"/>
      <c r="AY293" s="36"/>
      <c r="AZ293" s="36"/>
      <c r="BA293" s="36"/>
      <c r="BB293" s="36"/>
      <c r="BC293" s="36"/>
      <c r="BD293" s="36"/>
      <c r="BE293" s="36"/>
    </row>
    <row r="294" spans="2:57" s="30" customFormat="1" ht="45" x14ac:dyDescent="0.2">
      <c r="B294" s="83" t="s">
        <v>476</v>
      </c>
      <c r="F294" s="33"/>
      <c r="G294" s="33"/>
      <c r="H294" s="33"/>
      <c r="I294" s="33"/>
      <c r="K294" s="37" t="s">
        <v>297</v>
      </c>
      <c r="L294" s="37" t="s">
        <v>185</v>
      </c>
      <c r="M294" s="81"/>
      <c r="N294" s="81"/>
      <c r="O294" s="96"/>
      <c r="Q294" s="34"/>
      <c r="R294" s="43" t="s">
        <v>318</v>
      </c>
      <c r="S294" s="220"/>
      <c r="T294" s="43"/>
      <c r="U294" s="43"/>
      <c r="V294" s="43"/>
      <c r="W294" s="43"/>
      <c r="X294" s="43"/>
      <c r="Y294" s="43"/>
      <c r="Z294" s="43"/>
      <c r="AA294" s="43"/>
      <c r="AB294" s="43"/>
      <c r="AC294" s="43"/>
      <c r="AD294" s="43"/>
      <c r="AE294" s="43"/>
      <c r="AF294" s="43"/>
      <c r="AG294" s="43"/>
      <c r="AH294" s="43"/>
      <c r="AI294" s="43"/>
      <c r="AJ294" s="43"/>
      <c r="AK294" s="35"/>
      <c r="AL294" s="35"/>
      <c r="AM294" s="35"/>
      <c r="AN294" s="36"/>
      <c r="AO294" s="36"/>
      <c r="AP294" s="36"/>
      <c r="AQ294" s="36"/>
      <c r="AR294" s="36"/>
      <c r="AS294" s="36"/>
      <c r="AT294" s="36"/>
      <c r="AU294" s="36"/>
      <c r="AV294" s="36"/>
      <c r="AW294" s="36"/>
      <c r="AX294" s="36"/>
      <c r="AY294" s="36"/>
      <c r="AZ294" s="36"/>
      <c r="BA294" s="36"/>
      <c r="BB294" s="36"/>
      <c r="BC294" s="36"/>
      <c r="BD294" s="36"/>
      <c r="BE294" s="36"/>
    </row>
    <row r="295" spans="2:57" s="30" customFormat="1" ht="15" x14ac:dyDescent="0.2">
      <c r="B295" s="132" t="s">
        <v>503</v>
      </c>
      <c r="C295" s="64"/>
      <c r="D295" s="81" t="s">
        <v>52</v>
      </c>
      <c r="G295" s="33"/>
      <c r="H295" s="81"/>
      <c r="J295" s="32" t="s">
        <v>347</v>
      </c>
      <c r="K295" s="134">
        <f>IF(ISNUMBER(L295),L295,Muut!$F$31)</f>
        <v>33.857142857142854</v>
      </c>
      <c r="L295" s="61"/>
      <c r="M295" s="40" t="s">
        <v>248</v>
      </c>
      <c r="N295" s="40"/>
      <c r="O295" s="259"/>
      <c r="Q295" s="34"/>
      <c r="R295" s="236" t="str">
        <f>IF(AND(ISNUMBER(K295),ISNUMBER(C295)),K295*C295,"")</f>
        <v/>
      </c>
      <c r="S295" s="226" t="s">
        <v>160</v>
      </c>
      <c r="T295" s="43"/>
      <c r="U295" s="43"/>
      <c r="V295" s="43"/>
      <c r="W295" s="43"/>
      <c r="X295" s="43"/>
      <c r="Y295" s="43"/>
      <c r="Z295" s="43"/>
      <c r="AA295" s="43"/>
      <c r="AB295" s="43"/>
      <c r="AC295" s="43"/>
      <c r="AD295" s="43"/>
      <c r="AE295" s="43"/>
      <c r="AF295" s="43"/>
      <c r="AG295" s="43"/>
      <c r="AH295" s="43"/>
      <c r="AI295" s="43"/>
      <c r="AJ295" s="43"/>
      <c r="AK295" s="35"/>
      <c r="AL295" s="35"/>
      <c r="AM295" s="35"/>
      <c r="AN295" s="36"/>
      <c r="AO295" s="36"/>
      <c r="AP295" s="36"/>
      <c r="AQ295" s="36"/>
      <c r="AR295" s="36"/>
      <c r="AS295" s="36"/>
      <c r="AT295" s="36"/>
      <c r="AU295" s="36"/>
      <c r="AV295" s="36"/>
      <c r="AW295" s="36"/>
      <c r="AX295" s="36"/>
      <c r="AY295" s="36"/>
      <c r="AZ295" s="36"/>
      <c r="BA295" s="36"/>
      <c r="BB295" s="36"/>
      <c r="BC295" s="36"/>
      <c r="BD295" s="36"/>
      <c r="BE295" s="36"/>
    </row>
    <row r="296" spans="2:57" s="30" customFormat="1" ht="15" customHeight="1" x14ac:dyDescent="0.2">
      <c r="B296" s="166" t="s">
        <v>518</v>
      </c>
      <c r="C296" s="150"/>
      <c r="D296" s="81" t="str">
        <f>IF(ISBLANK(C296),"%","")</f>
        <v>%</v>
      </c>
      <c r="E296" s="33"/>
      <c r="F296" s="33"/>
      <c r="G296" s="33"/>
      <c r="H296" s="81"/>
      <c r="J296" s="32" t="s">
        <v>508</v>
      </c>
      <c r="K296" s="92" t="str">
        <f>IF(ISNUMBER(L296),L296,"")</f>
        <v/>
      </c>
      <c r="L296" s="181"/>
      <c r="M296" s="40" t="s">
        <v>248</v>
      </c>
      <c r="N296" s="40"/>
      <c r="O296" s="259"/>
      <c r="Q296" s="34"/>
      <c r="R296" s="236" t="str">
        <f>IF(AND(ISNUMBER(K296),ISNUMBER(C296)),-K296*C296*C295,"")</f>
        <v/>
      </c>
      <c r="S296" s="226" t="s">
        <v>160</v>
      </c>
      <c r="T296" s="225" t="s">
        <v>348</v>
      </c>
      <c r="U296" s="43"/>
      <c r="V296" s="43"/>
      <c r="W296" s="43"/>
      <c r="X296" s="43"/>
      <c r="Y296" s="43"/>
      <c r="Z296" s="43"/>
      <c r="AA296" s="43"/>
      <c r="AB296" s="43"/>
      <c r="AC296" s="43"/>
      <c r="AD296" s="43"/>
      <c r="AE296" s="43"/>
      <c r="AF296" s="43"/>
      <c r="AG296" s="43"/>
      <c r="AH296" s="43"/>
      <c r="AI296" s="43"/>
      <c r="AJ296" s="43"/>
      <c r="AK296" s="35"/>
      <c r="AL296" s="35"/>
      <c r="AM296" s="35"/>
      <c r="AN296" s="36"/>
      <c r="AO296" s="36"/>
      <c r="AP296" s="36"/>
      <c r="AQ296" s="36"/>
      <c r="AR296" s="36"/>
      <c r="AS296" s="36"/>
      <c r="AT296" s="36"/>
      <c r="AU296" s="36"/>
      <c r="AV296" s="36"/>
      <c r="AW296" s="36"/>
      <c r="AX296" s="36"/>
      <c r="AY296" s="36"/>
      <c r="AZ296" s="36"/>
      <c r="BA296" s="36"/>
      <c r="BB296" s="36"/>
      <c r="BC296" s="36"/>
      <c r="BD296" s="36"/>
      <c r="BE296" s="36"/>
    </row>
    <row r="297" spans="2:57" s="30" customFormat="1" ht="15" customHeight="1" x14ac:dyDescent="0.2">
      <c r="B297" s="166" t="s">
        <v>519</v>
      </c>
      <c r="C297" s="150"/>
      <c r="D297" s="81" t="str">
        <f>IF(ISBLANK(C297),"%","")</f>
        <v>%</v>
      </c>
      <c r="E297" s="33"/>
      <c r="F297" s="33"/>
      <c r="G297" s="33"/>
      <c r="H297" s="81"/>
      <c r="J297" s="32" t="s">
        <v>512</v>
      </c>
      <c r="K297" s="92" t="str">
        <f>IF(ISNUMBER(L297),L297,"")</f>
        <v/>
      </c>
      <c r="L297" s="181"/>
      <c r="M297" s="40" t="s">
        <v>248</v>
      </c>
      <c r="N297" s="40"/>
      <c r="O297" s="259"/>
      <c r="Q297" s="34"/>
      <c r="R297" s="236" t="str">
        <f>IF(AND(ISNUMBER(K297),ISNUMBER(C297)),-K297*C297*C295,"")</f>
        <v/>
      </c>
      <c r="S297" s="226" t="s">
        <v>160</v>
      </c>
      <c r="T297" s="225" t="s">
        <v>348</v>
      </c>
      <c r="U297" s="43"/>
      <c r="V297" s="43"/>
      <c r="W297" s="43"/>
      <c r="X297" s="43"/>
      <c r="Y297" s="43"/>
      <c r="Z297" s="43"/>
      <c r="AA297" s="43"/>
      <c r="AB297" s="43"/>
      <c r="AC297" s="43"/>
      <c r="AD297" s="43"/>
      <c r="AE297" s="43"/>
      <c r="AF297" s="43"/>
      <c r="AG297" s="43"/>
      <c r="AH297" s="43"/>
      <c r="AI297" s="43"/>
      <c r="AJ297" s="43"/>
      <c r="AK297" s="35"/>
      <c r="AL297" s="35"/>
      <c r="AM297" s="35"/>
      <c r="AN297" s="36"/>
      <c r="AO297" s="36"/>
      <c r="AP297" s="36"/>
      <c r="AQ297" s="36"/>
      <c r="AR297" s="36"/>
      <c r="AS297" s="36"/>
      <c r="AT297" s="36"/>
      <c r="AU297" s="36"/>
      <c r="AV297" s="36"/>
      <c r="AW297" s="36"/>
      <c r="AX297" s="36"/>
      <c r="AY297" s="36"/>
      <c r="AZ297" s="36"/>
      <c r="BA297" s="36"/>
      <c r="BB297" s="36"/>
      <c r="BC297" s="36"/>
      <c r="BD297" s="36"/>
      <c r="BE297" s="36"/>
    </row>
    <row r="298" spans="2:57" s="30" customFormat="1" ht="15" customHeight="1" x14ac:dyDescent="0.2">
      <c r="B298" s="132" t="s">
        <v>504</v>
      </c>
      <c r="C298" s="64"/>
      <c r="D298" s="81" t="s">
        <v>52</v>
      </c>
      <c r="G298" s="33"/>
      <c r="H298" s="81"/>
      <c r="J298" s="32" t="s">
        <v>347</v>
      </c>
      <c r="K298" s="134">
        <f>IF(ISNUMBER(L298),L298,Muut!$F$31)</f>
        <v>33.857142857142854</v>
      </c>
      <c r="L298" s="61"/>
      <c r="M298" s="40" t="s">
        <v>248</v>
      </c>
      <c r="N298" s="40"/>
      <c r="O298" s="259"/>
      <c r="Q298" s="34"/>
      <c r="R298" s="236" t="str">
        <f>IF(AND(ISNUMBER(K298),ISNUMBER(C298)),K298*C298,"")</f>
        <v/>
      </c>
      <c r="S298" s="226" t="s">
        <v>160</v>
      </c>
      <c r="T298" s="43"/>
      <c r="U298" s="43"/>
      <c r="V298" s="43"/>
      <c r="W298" s="43"/>
      <c r="X298" s="43"/>
      <c r="Y298" s="43"/>
      <c r="Z298" s="43"/>
      <c r="AA298" s="43"/>
      <c r="AB298" s="43"/>
      <c r="AC298" s="43"/>
      <c r="AD298" s="43"/>
      <c r="AE298" s="43"/>
      <c r="AF298" s="43"/>
      <c r="AG298" s="43"/>
      <c r="AH298" s="43"/>
      <c r="AI298" s="43"/>
      <c r="AJ298" s="43"/>
      <c r="AK298" s="35"/>
      <c r="AL298" s="35"/>
      <c r="AM298" s="35"/>
      <c r="AN298" s="36"/>
      <c r="AO298" s="36"/>
      <c r="AP298" s="36"/>
      <c r="AQ298" s="36"/>
      <c r="AR298" s="36"/>
      <c r="AS298" s="36"/>
      <c r="AT298" s="36"/>
      <c r="AU298" s="36"/>
      <c r="AV298" s="36"/>
      <c r="AW298" s="36"/>
      <c r="AX298" s="36"/>
      <c r="AY298" s="36"/>
      <c r="AZ298" s="36"/>
      <c r="BA298" s="36"/>
      <c r="BB298" s="36"/>
      <c r="BC298" s="36"/>
      <c r="BD298" s="36"/>
      <c r="BE298" s="36"/>
    </row>
    <row r="299" spans="2:57" s="30" customFormat="1" ht="15" customHeight="1" x14ac:dyDescent="0.2">
      <c r="B299" s="166" t="s">
        <v>520</v>
      </c>
      <c r="C299" s="150"/>
      <c r="D299" s="81" t="str">
        <f t="shared" ref="D299:D300" si="0">IF(ISBLANK(C299),"%","")</f>
        <v>%</v>
      </c>
      <c r="G299" s="33"/>
      <c r="H299" s="81"/>
      <c r="J299" s="32" t="s">
        <v>508</v>
      </c>
      <c r="K299" s="92" t="str">
        <f>IF(ISNUMBER(L299),L299,"")</f>
        <v/>
      </c>
      <c r="L299" s="181"/>
      <c r="M299" s="40" t="s">
        <v>248</v>
      </c>
      <c r="N299" s="40"/>
      <c r="O299" s="259"/>
      <c r="Q299" s="34"/>
      <c r="R299" s="236" t="str">
        <f>IF(AND(ISNUMBER(K299),ISNUMBER(C299)),-K299*C299*C298,"")</f>
        <v/>
      </c>
      <c r="S299" s="226" t="s">
        <v>160</v>
      </c>
      <c r="T299" s="225" t="s">
        <v>348</v>
      </c>
      <c r="U299" s="43"/>
      <c r="V299" s="43"/>
      <c r="W299" s="43"/>
      <c r="X299" s="43"/>
      <c r="Y299" s="43"/>
      <c r="Z299" s="43"/>
      <c r="AA299" s="43"/>
      <c r="AB299" s="43"/>
      <c r="AC299" s="43"/>
      <c r="AD299" s="43"/>
      <c r="AE299" s="43"/>
      <c r="AF299" s="43"/>
      <c r="AG299" s="43"/>
      <c r="AH299" s="43"/>
      <c r="AI299" s="43"/>
      <c r="AJ299" s="43"/>
      <c r="AK299" s="35"/>
      <c r="AL299" s="35"/>
      <c r="AM299" s="35"/>
      <c r="AN299" s="36"/>
      <c r="AO299" s="36"/>
      <c r="AP299" s="36"/>
      <c r="AQ299" s="36"/>
      <c r="AR299" s="36"/>
      <c r="AS299" s="36"/>
      <c r="AT299" s="36"/>
      <c r="AU299" s="36"/>
      <c r="AV299" s="36"/>
      <c r="AW299" s="36"/>
      <c r="AX299" s="36"/>
      <c r="AY299" s="36"/>
      <c r="AZ299" s="36"/>
      <c r="BA299" s="36"/>
      <c r="BB299" s="36"/>
      <c r="BC299" s="36"/>
      <c r="BD299" s="36"/>
      <c r="BE299" s="36"/>
    </row>
    <row r="300" spans="2:57" s="30" customFormat="1" ht="15" customHeight="1" x14ac:dyDescent="0.2">
      <c r="B300" s="166" t="s">
        <v>519</v>
      </c>
      <c r="C300" s="150"/>
      <c r="D300" s="81" t="str">
        <f t="shared" si="0"/>
        <v>%</v>
      </c>
      <c r="E300" s="33"/>
      <c r="F300" s="33"/>
      <c r="G300" s="33"/>
      <c r="H300" s="81"/>
      <c r="J300" s="32" t="s">
        <v>512</v>
      </c>
      <c r="K300" s="92" t="str">
        <f>IF(ISNUMBER(L300),L300,"")</f>
        <v/>
      </c>
      <c r="L300" s="181"/>
      <c r="M300" s="40" t="s">
        <v>248</v>
      </c>
      <c r="N300" s="40"/>
      <c r="O300" s="259"/>
      <c r="Q300" s="34"/>
      <c r="R300" s="236" t="str">
        <f>IF(AND(ISNUMBER(K300),ISNUMBER(C300)),-K300*C300*C298,"")</f>
        <v/>
      </c>
      <c r="S300" s="226" t="s">
        <v>160</v>
      </c>
      <c r="T300" s="225" t="s">
        <v>348</v>
      </c>
      <c r="U300" s="43"/>
      <c r="V300" s="43"/>
      <c r="W300" s="43"/>
      <c r="X300" s="43"/>
      <c r="Y300" s="43"/>
      <c r="Z300" s="43"/>
      <c r="AA300" s="43"/>
      <c r="AB300" s="43"/>
      <c r="AC300" s="43"/>
      <c r="AD300" s="43"/>
      <c r="AE300" s="43"/>
      <c r="AF300" s="43"/>
      <c r="AG300" s="43"/>
      <c r="AH300" s="43"/>
      <c r="AI300" s="43"/>
      <c r="AJ300" s="43"/>
      <c r="AK300" s="35"/>
      <c r="AL300" s="35"/>
      <c r="AM300" s="35"/>
      <c r="AN300" s="36"/>
      <c r="AO300" s="36"/>
      <c r="AP300" s="36"/>
      <c r="AQ300" s="36"/>
      <c r="AR300" s="36"/>
      <c r="AS300" s="36"/>
      <c r="AT300" s="36"/>
      <c r="AU300" s="36"/>
      <c r="AV300" s="36"/>
      <c r="AW300" s="36"/>
      <c r="AX300" s="36"/>
      <c r="AY300" s="36"/>
      <c r="AZ300" s="36"/>
      <c r="BA300" s="36"/>
      <c r="BB300" s="36"/>
      <c r="BC300" s="36"/>
      <c r="BD300" s="36"/>
      <c r="BE300" s="36"/>
    </row>
    <row r="301" spans="2:57" s="30" customFormat="1" ht="15" customHeight="1" x14ac:dyDescent="0.2">
      <c r="B301" s="132" t="s">
        <v>505</v>
      </c>
      <c r="C301" s="64"/>
      <c r="D301" s="81" t="s">
        <v>52</v>
      </c>
      <c r="G301" s="33"/>
      <c r="H301" s="81"/>
      <c r="J301" s="32" t="s">
        <v>347</v>
      </c>
      <c r="K301" s="134">
        <f>IF(ISNUMBER(L301),L301,Muut!$F$31)</f>
        <v>33.857142857142854</v>
      </c>
      <c r="L301" s="61"/>
      <c r="M301" s="40" t="s">
        <v>248</v>
      </c>
      <c r="N301" s="40"/>
      <c r="O301" s="259"/>
      <c r="Q301" s="34"/>
      <c r="R301" s="236" t="str">
        <f>IF(AND(ISNUMBER(K301),ISNUMBER(C301)),K301*C301,"")</f>
        <v/>
      </c>
      <c r="S301" s="226" t="s">
        <v>160</v>
      </c>
      <c r="T301" s="43"/>
      <c r="U301" s="43"/>
      <c r="V301" s="43"/>
      <c r="W301" s="43"/>
      <c r="X301" s="43"/>
      <c r="Y301" s="43"/>
      <c r="Z301" s="43"/>
      <c r="AA301" s="43"/>
      <c r="AB301" s="43"/>
      <c r="AC301" s="43"/>
      <c r="AD301" s="43"/>
      <c r="AE301" s="43"/>
      <c r="AF301" s="43"/>
      <c r="AG301" s="43"/>
      <c r="AH301" s="43"/>
      <c r="AI301" s="43"/>
      <c r="AJ301" s="43"/>
      <c r="AK301" s="35"/>
      <c r="AL301" s="35"/>
      <c r="AM301" s="35"/>
      <c r="AN301" s="36"/>
      <c r="AO301" s="36"/>
      <c r="AP301" s="36"/>
      <c r="AQ301" s="36"/>
      <c r="AR301" s="36"/>
      <c r="AS301" s="36"/>
      <c r="AT301" s="36"/>
      <c r="AU301" s="36"/>
      <c r="AV301" s="36"/>
      <c r="AW301" s="36"/>
      <c r="AX301" s="36"/>
      <c r="AY301" s="36"/>
      <c r="AZ301" s="36"/>
      <c r="BA301" s="36"/>
      <c r="BB301" s="36"/>
      <c r="BC301" s="36"/>
      <c r="BD301" s="36"/>
      <c r="BE301" s="36"/>
    </row>
    <row r="302" spans="2:57" s="30" customFormat="1" ht="15" customHeight="1" x14ac:dyDescent="0.2">
      <c r="B302" s="166" t="s">
        <v>520</v>
      </c>
      <c r="C302" s="150"/>
      <c r="D302" s="81" t="str">
        <f t="shared" ref="D302:D303" si="1">IF(ISBLANK(C302),"%","")</f>
        <v>%</v>
      </c>
      <c r="E302" s="33"/>
      <c r="F302" s="33"/>
      <c r="G302" s="33"/>
      <c r="H302" s="81"/>
      <c r="J302" s="32" t="s">
        <v>508</v>
      </c>
      <c r="K302" s="92" t="str">
        <f>IF(ISNUMBER(L302),L302,"")</f>
        <v/>
      </c>
      <c r="L302" s="181"/>
      <c r="M302" s="40" t="s">
        <v>248</v>
      </c>
      <c r="N302" s="40"/>
      <c r="O302" s="259"/>
      <c r="Q302" s="34"/>
      <c r="R302" s="236" t="str">
        <f>IF(AND(ISNUMBER(K302),ISNUMBER(C302)),-K302*C302*C301,"")</f>
        <v/>
      </c>
      <c r="S302" s="226" t="s">
        <v>160</v>
      </c>
      <c r="T302" s="225" t="s">
        <v>348</v>
      </c>
      <c r="U302" s="43"/>
      <c r="V302" s="43"/>
      <c r="W302" s="43"/>
      <c r="X302" s="43"/>
      <c r="Y302" s="43"/>
      <c r="Z302" s="43"/>
      <c r="AA302" s="43"/>
      <c r="AB302" s="43"/>
      <c r="AC302" s="43"/>
      <c r="AD302" s="43"/>
      <c r="AE302" s="43"/>
      <c r="AF302" s="43"/>
      <c r="AG302" s="43"/>
      <c r="AH302" s="43"/>
      <c r="AI302" s="43"/>
      <c r="AJ302" s="43"/>
      <c r="AK302" s="35"/>
      <c r="AL302" s="35"/>
      <c r="AM302" s="35"/>
      <c r="AN302" s="36"/>
      <c r="AO302" s="36"/>
      <c r="AP302" s="36"/>
      <c r="AQ302" s="36"/>
      <c r="AR302" s="36"/>
      <c r="AS302" s="36"/>
      <c r="AT302" s="36"/>
      <c r="AU302" s="36"/>
      <c r="AV302" s="36"/>
      <c r="AW302" s="36"/>
      <c r="AX302" s="36"/>
      <c r="AY302" s="36"/>
      <c r="AZ302" s="36"/>
      <c r="BA302" s="36"/>
      <c r="BB302" s="36"/>
      <c r="BC302" s="36"/>
      <c r="BD302" s="36"/>
      <c r="BE302" s="36"/>
    </row>
    <row r="303" spans="2:57" s="30" customFormat="1" ht="15" customHeight="1" x14ac:dyDescent="0.2">
      <c r="B303" s="166" t="s">
        <v>519</v>
      </c>
      <c r="C303" s="150"/>
      <c r="D303" s="81" t="str">
        <f t="shared" si="1"/>
        <v>%</v>
      </c>
      <c r="E303" s="33"/>
      <c r="F303" s="33"/>
      <c r="G303" s="33"/>
      <c r="H303" s="81"/>
      <c r="J303" s="32" t="s">
        <v>512</v>
      </c>
      <c r="K303" s="92" t="str">
        <f>IF(ISNUMBER(L303),L303,"")</f>
        <v/>
      </c>
      <c r="L303" s="181"/>
      <c r="M303" s="40" t="s">
        <v>248</v>
      </c>
      <c r="N303" s="40"/>
      <c r="O303" s="259"/>
      <c r="Q303" s="34"/>
      <c r="R303" s="236" t="str">
        <f>IF(AND(ISNUMBER(K303),ISNUMBER(C303)),-K303*C303*C301,"")</f>
        <v/>
      </c>
      <c r="S303" s="226" t="s">
        <v>160</v>
      </c>
      <c r="T303" s="225" t="s">
        <v>348</v>
      </c>
      <c r="U303" s="43"/>
      <c r="V303" s="43"/>
      <c r="W303" s="43"/>
      <c r="X303" s="43"/>
      <c r="Y303" s="43"/>
      <c r="Z303" s="43"/>
      <c r="AA303" s="43"/>
      <c r="AB303" s="43"/>
      <c r="AC303" s="43"/>
      <c r="AD303" s="43"/>
      <c r="AE303" s="43"/>
      <c r="AF303" s="43"/>
      <c r="AG303" s="43"/>
      <c r="AH303" s="43"/>
      <c r="AI303" s="43"/>
      <c r="AJ303" s="43"/>
      <c r="AK303" s="35"/>
      <c r="AL303" s="35"/>
      <c r="AM303" s="35"/>
      <c r="AN303" s="36"/>
      <c r="AO303" s="36"/>
      <c r="AP303" s="36"/>
      <c r="AQ303" s="36"/>
      <c r="AR303" s="36"/>
      <c r="AS303" s="36"/>
      <c r="AT303" s="36"/>
      <c r="AU303" s="36"/>
      <c r="AV303" s="36"/>
      <c r="AW303" s="36"/>
      <c r="AX303" s="36"/>
      <c r="AY303" s="36"/>
      <c r="AZ303" s="36"/>
      <c r="BA303" s="36"/>
      <c r="BB303" s="36"/>
      <c r="BC303" s="36"/>
      <c r="BD303" s="36"/>
      <c r="BE303" s="36"/>
    </row>
    <row r="304" spans="2:57" s="30" customFormat="1" ht="15" customHeight="1" x14ac:dyDescent="0.2">
      <c r="B304" s="132" t="s">
        <v>506</v>
      </c>
      <c r="C304" s="64"/>
      <c r="D304" s="81" t="s">
        <v>52</v>
      </c>
      <c r="G304" s="33"/>
      <c r="H304" s="81"/>
      <c r="J304" s="32" t="s">
        <v>347</v>
      </c>
      <c r="K304" s="134">
        <f>IF(ISNUMBER(L304),L304,Muut!$F$31)</f>
        <v>33.857142857142854</v>
      </c>
      <c r="L304" s="61"/>
      <c r="M304" s="40" t="s">
        <v>248</v>
      </c>
      <c r="N304" s="40"/>
      <c r="O304" s="259"/>
      <c r="Q304" s="34"/>
      <c r="R304" s="236" t="str">
        <f>IF(AND(ISNUMBER(K304),ISNUMBER(C304)),K304*C304,"")</f>
        <v/>
      </c>
      <c r="S304" s="226" t="s">
        <v>160</v>
      </c>
      <c r="T304" s="43"/>
      <c r="U304" s="43"/>
      <c r="V304" s="43"/>
      <c r="W304" s="43"/>
      <c r="X304" s="43"/>
      <c r="Y304" s="43"/>
      <c r="Z304" s="43"/>
      <c r="AA304" s="43"/>
      <c r="AB304" s="43"/>
      <c r="AC304" s="43"/>
      <c r="AD304" s="43"/>
      <c r="AE304" s="43"/>
      <c r="AF304" s="43"/>
      <c r="AG304" s="43"/>
      <c r="AH304" s="43"/>
      <c r="AI304" s="43"/>
      <c r="AJ304" s="43"/>
      <c r="AK304" s="35"/>
      <c r="AL304" s="35"/>
      <c r="AM304" s="35"/>
      <c r="AN304" s="36"/>
      <c r="AO304" s="36"/>
      <c r="AP304" s="36"/>
      <c r="AQ304" s="36"/>
      <c r="AR304" s="36"/>
      <c r="AS304" s="36"/>
      <c r="AT304" s="36"/>
      <c r="AU304" s="36"/>
      <c r="AV304" s="36"/>
      <c r="AW304" s="36"/>
      <c r="AX304" s="36"/>
      <c r="AY304" s="36"/>
      <c r="AZ304" s="36"/>
      <c r="BA304" s="36"/>
      <c r="BB304" s="36"/>
      <c r="BC304" s="36"/>
      <c r="BD304" s="36"/>
      <c r="BE304" s="36"/>
    </row>
    <row r="305" spans="2:59" s="30" customFormat="1" ht="15" customHeight="1" x14ac:dyDescent="0.2">
      <c r="B305" s="166" t="s">
        <v>520</v>
      </c>
      <c r="C305" s="150"/>
      <c r="D305" s="81" t="str">
        <f t="shared" ref="D305:D306" si="2">IF(ISBLANK(C305),"%","")</f>
        <v>%</v>
      </c>
      <c r="E305" s="33"/>
      <c r="F305" s="33"/>
      <c r="G305" s="33"/>
      <c r="H305" s="81"/>
      <c r="J305" s="32" t="s">
        <v>508</v>
      </c>
      <c r="K305" s="92" t="str">
        <f>IF(ISNUMBER(L305),L305,"")</f>
        <v/>
      </c>
      <c r="L305" s="181"/>
      <c r="M305" s="40" t="s">
        <v>248</v>
      </c>
      <c r="N305" s="40"/>
      <c r="O305" s="259"/>
      <c r="Q305" s="34"/>
      <c r="R305" s="236" t="str">
        <f>IF(AND(ISNUMBER(K305),ISNUMBER(C305)),-K305*C305*C304,"")</f>
        <v/>
      </c>
      <c r="S305" s="226" t="s">
        <v>160</v>
      </c>
      <c r="T305" s="225" t="s">
        <v>348</v>
      </c>
      <c r="U305" s="43"/>
      <c r="V305" s="43"/>
      <c r="W305" s="43"/>
      <c r="X305" s="43"/>
      <c r="Y305" s="43"/>
      <c r="Z305" s="43"/>
      <c r="AA305" s="43"/>
      <c r="AB305" s="43"/>
      <c r="AC305" s="43"/>
      <c r="AD305" s="43"/>
      <c r="AE305" s="43"/>
      <c r="AF305" s="43"/>
      <c r="AG305" s="43"/>
      <c r="AH305" s="43"/>
      <c r="AI305" s="43"/>
      <c r="AJ305" s="43"/>
      <c r="AK305" s="35"/>
      <c r="AL305" s="35"/>
      <c r="AM305" s="35"/>
      <c r="AN305" s="36"/>
      <c r="AO305" s="36"/>
      <c r="AP305" s="36"/>
      <c r="AQ305" s="36"/>
      <c r="AR305" s="36"/>
      <c r="AS305" s="36"/>
      <c r="AT305" s="36"/>
      <c r="AU305" s="36"/>
      <c r="AV305" s="36"/>
      <c r="AW305" s="36"/>
      <c r="AX305" s="36"/>
      <c r="AY305" s="36"/>
      <c r="AZ305" s="36"/>
      <c r="BA305" s="36"/>
      <c r="BB305" s="36"/>
      <c r="BC305" s="36"/>
      <c r="BD305" s="36"/>
      <c r="BE305" s="36"/>
    </row>
    <row r="306" spans="2:59" s="30" customFormat="1" ht="15" customHeight="1" x14ac:dyDescent="0.2">
      <c r="B306" s="166" t="s">
        <v>519</v>
      </c>
      <c r="C306" s="150"/>
      <c r="D306" s="81" t="str">
        <f t="shared" si="2"/>
        <v>%</v>
      </c>
      <c r="E306" s="33"/>
      <c r="F306" s="33"/>
      <c r="G306" s="33"/>
      <c r="H306" s="81"/>
      <c r="J306" s="32" t="s">
        <v>512</v>
      </c>
      <c r="K306" s="92" t="str">
        <f>IF(ISNUMBER(L306),L306,"")</f>
        <v/>
      </c>
      <c r="L306" s="181"/>
      <c r="M306" s="40" t="s">
        <v>248</v>
      </c>
      <c r="N306" s="40"/>
      <c r="O306" s="259"/>
      <c r="Q306" s="34"/>
      <c r="R306" s="236" t="str">
        <f>IF(AND(ISNUMBER(K306),ISNUMBER(C306)),-K306*C306*C304,"")</f>
        <v/>
      </c>
      <c r="S306" s="226" t="s">
        <v>160</v>
      </c>
      <c r="T306" s="225" t="s">
        <v>348</v>
      </c>
      <c r="U306" s="43"/>
      <c r="V306" s="43"/>
      <c r="W306" s="43"/>
      <c r="X306" s="43"/>
      <c r="Y306" s="43"/>
      <c r="Z306" s="43"/>
      <c r="AA306" s="43"/>
      <c r="AB306" s="43"/>
      <c r="AC306" s="43"/>
      <c r="AD306" s="43"/>
      <c r="AE306" s="43"/>
      <c r="AF306" s="43"/>
      <c r="AG306" s="43"/>
      <c r="AH306" s="43"/>
      <c r="AI306" s="43"/>
      <c r="AJ306" s="43"/>
      <c r="AK306" s="35"/>
      <c r="AL306" s="35"/>
      <c r="AM306" s="35"/>
      <c r="AN306" s="36"/>
      <c r="AO306" s="36"/>
      <c r="AP306" s="36"/>
      <c r="AQ306" s="36"/>
      <c r="AR306" s="36"/>
      <c r="AS306" s="36"/>
      <c r="AT306" s="36"/>
      <c r="AU306" s="36"/>
      <c r="AV306" s="36"/>
      <c r="AW306" s="36"/>
      <c r="AX306" s="36"/>
      <c r="AY306" s="36"/>
      <c r="AZ306" s="36"/>
      <c r="BA306" s="36"/>
      <c r="BB306" s="36"/>
      <c r="BC306" s="36"/>
      <c r="BD306" s="36"/>
      <c r="BE306" s="36"/>
    </row>
    <row r="307" spans="2:59" s="30" customFormat="1" ht="15" customHeight="1" x14ac:dyDescent="0.2">
      <c r="B307" s="132" t="s">
        <v>507</v>
      </c>
      <c r="C307" s="64"/>
      <c r="D307" s="81" t="s">
        <v>52</v>
      </c>
      <c r="G307" s="33"/>
      <c r="H307" s="81"/>
      <c r="J307" s="32" t="s">
        <v>347</v>
      </c>
      <c r="K307" s="134">
        <f>IF(ISNUMBER(L307),L307,Muut!$F$31)</f>
        <v>33.857142857142854</v>
      </c>
      <c r="L307" s="61"/>
      <c r="M307" s="40" t="s">
        <v>248</v>
      </c>
      <c r="N307" s="40"/>
      <c r="O307" s="259"/>
      <c r="Q307" s="34"/>
      <c r="R307" s="236" t="str">
        <f>IF(AND(ISNUMBER(K307),ISNUMBER(C307)),K307*C307,"")</f>
        <v/>
      </c>
      <c r="S307" s="226" t="s">
        <v>160</v>
      </c>
      <c r="T307" s="43"/>
      <c r="U307" s="43"/>
      <c r="V307" s="43"/>
      <c r="W307" s="43"/>
      <c r="X307" s="43"/>
      <c r="Y307" s="43"/>
      <c r="Z307" s="43"/>
      <c r="AA307" s="43"/>
      <c r="AB307" s="43"/>
      <c r="AC307" s="43"/>
      <c r="AD307" s="43"/>
      <c r="AE307" s="43"/>
      <c r="AF307" s="43"/>
      <c r="AG307" s="43"/>
      <c r="AH307" s="43"/>
      <c r="AI307" s="43"/>
      <c r="AJ307" s="43"/>
      <c r="AK307" s="35"/>
      <c r="AL307" s="35"/>
      <c r="AM307" s="35"/>
      <c r="AN307" s="36"/>
      <c r="AO307" s="36"/>
      <c r="AP307" s="36"/>
      <c r="AQ307" s="36"/>
      <c r="AR307" s="36"/>
      <c r="AS307" s="36"/>
      <c r="AT307" s="36"/>
      <c r="AU307" s="36"/>
      <c r="AV307" s="36"/>
      <c r="AW307" s="36"/>
      <c r="AX307" s="36"/>
      <c r="AY307" s="36"/>
      <c r="AZ307" s="36"/>
      <c r="BA307" s="36"/>
      <c r="BB307" s="36"/>
      <c r="BC307" s="36"/>
      <c r="BD307" s="36"/>
      <c r="BE307" s="36"/>
    </row>
    <row r="308" spans="2:59" s="30" customFormat="1" ht="15" customHeight="1" x14ac:dyDescent="0.2">
      <c r="B308" s="166" t="s">
        <v>520</v>
      </c>
      <c r="C308" s="150"/>
      <c r="D308" s="81" t="str">
        <f t="shared" ref="D308:D309" si="3">IF(ISBLANK(C308),"%","")</f>
        <v>%</v>
      </c>
      <c r="E308" s="33"/>
      <c r="F308" s="33"/>
      <c r="G308" s="33"/>
      <c r="H308" s="81"/>
      <c r="J308" s="32" t="s">
        <v>508</v>
      </c>
      <c r="K308" s="92" t="str">
        <f>IF(ISNUMBER(L308),L308,"")</f>
        <v/>
      </c>
      <c r="L308" s="181"/>
      <c r="M308" s="40" t="s">
        <v>248</v>
      </c>
      <c r="N308" s="40"/>
      <c r="O308" s="259"/>
      <c r="Q308" s="34"/>
      <c r="R308" s="236" t="str">
        <f>IF(AND(ISNUMBER(K308),ISNUMBER(C308)),-K308*C308*C307,"")</f>
        <v/>
      </c>
      <c r="S308" s="226" t="s">
        <v>160</v>
      </c>
      <c r="T308" s="225" t="s">
        <v>348</v>
      </c>
      <c r="U308" s="43"/>
      <c r="V308" s="43"/>
      <c r="W308" s="43"/>
      <c r="X308" s="43"/>
      <c r="Y308" s="43"/>
      <c r="Z308" s="43"/>
      <c r="AA308" s="43"/>
      <c r="AB308" s="43"/>
      <c r="AC308" s="43"/>
      <c r="AD308" s="43"/>
      <c r="AE308" s="43"/>
      <c r="AF308" s="43"/>
      <c r="AG308" s="43"/>
      <c r="AH308" s="43"/>
      <c r="AI308" s="43"/>
      <c r="AJ308" s="43"/>
      <c r="AK308" s="35"/>
      <c r="AL308" s="35"/>
      <c r="AM308" s="35"/>
      <c r="AN308" s="36"/>
      <c r="AO308" s="36"/>
      <c r="AP308" s="36"/>
      <c r="AQ308" s="36"/>
      <c r="AR308" s="36"/>
      <c r="AS308" s="36"/>
      <c r="AT308" s="36"/>
      <c r="AU308" s="36"/>
      <c r="AV308" s="36"/>
      <c r="AW308" s="36"/>
      <c r="AX308" s="36"/>
      <c r="AY308" s="36"/>
      <c r="AZ308" s="36"/>
      <c r="BA308" s="36"/>
      <c r="BB308" s="36"/>
      <c r="BC308" s="36"/>
      <c r="BD308" s="36"/>
      <c r="BE308" s="36"/>
    </row>
    <row r="309" spans="2:59" s="30" customFormat="1" ht="15" customHeight="1" x14ac:dyDescent="0.2">
      <c r="B309" s="166" t="s">
        <v>519</v>
      </c>
      <c r="C309" s="150"/>
      <c r="D309" s="81" t="str">
        <f t="shared" si="3"/>
        <v>%</v>
      </c>
      <c r="E309" s="33"/>
      <c r="F309" s="33"/>
      <c r="G309" s="33"/>
      <c r="H309" s="81"/>
      <c r="J309" s="32" t="s">
        <v>512</v>
      </c>
      <c r="K309" s="92" t="str">
        <f>IF(ISNUMBER(L309),L309,"")</f>
        <v/>
      </c>
      <c r="L309" s="181"/>
      <c r="M309" s="40" t="s">
        <v>248</v>
      </c>
      <c r="N309" s="40"/>
      <c r="O309" s="259"/>
      <c r="Q309" s="34"/>
      <c r="R309" s="236" t="str">
        <f>IF(AND(ISNUMBER(K309),ISNUMBER(C309)),-K309*C309*C307,"")</f>
        <v/>
      </c>
      <c r="S309" s="226" t="s">
        <v>160</v>
      </c>
      <c r="T309" s="225" t="s">
        <v>348</v>
      </c>
      <c r="U309" s="43"/>
      <c r="V309" s="43"/>
      <c r="W309" s="43"/>
      <c r="X309" s="43"/>
      <c r="Y309" s="43"/>
      <c r="Z309" s="43"/>
      <c r="AA309" s="43"/>
      <c r="AB309" s="43"/>
      <c r="AC309" s="43"/>
      <c r="AD309" s="43"/>
      <c r="AE309" s="43"/>
      <c r="AF309" s="43"/>
      <c r="AG309" s="43"/>
      <c r="AH309" s="43"/>
      <c r="AI309" s="43"/>
      <c r="AJ309" s="43"/>
      <c r="AK309" s="35"/>
      <c r="AL309" s="35"/>
      <c r="AM309" s="35"/>
      <c r="AN309" s="36"/>
      <c r="AO309" s="36"/>
      <c r="AP309" s="36"/>
      <c r="AQ309" s="36"/>
      <c r="AR309" s="36"/>
      <c r="AS309" s="36"/>
      <c r="AT309" s="36"/>
      <c r="AU309" s="36"/>
      <c r="AV309" s="36"/>
      <c r="AW309" s="36"/>
      <c r="AX309" s="36"/>
      <c r="AY309" s="36"/>
      <c r="AZ309" s="36"/>
      <c r="BA309" s="36"/>
      <c r="BB309" s="36"/>
      <c r="BC309" s="36"/>
      <c r="BD309" s="36"/>
      <c r="BE309" s="36"/>
    </row>
    <row r="310" spans="2:59" s="30" customFormat="1" ht="15" x14ac:dyDescent="0.2">
      <c r="C310" s="33"/>
      <c r="D310" s="81"/>
      <c r="G310" s="33"/>
      <c r="H310" s="81"/>
      <c r="J310" s="32"/>
      <c r="K310" s="33"/>
      <c r="L310" s="33"/>
      <c r="M310" s="81"/>
      <c r="N310" s="81"/>
      <c r="O310" s="96"/>
      <c r="Q310" s="34"/>
      <c r="R310" s="43"/>
      <c r="S310" s="43"/>
      <c r="T310" s="43"/>
      <c r="U310" s="43"/>
      <c r="V310" s="43"/>
      <c r="W310" s="43"/>
      <c r="X310" s="43"/>
      <c r="Y310" s="43"/>
      <c r="Z310" s="43"/>
      <c r="AA310" s="43"/>
      <c r="AB310" s="43"/>
      <c r="AC310" s="43"/>
      <c r="AD310" s="43"/>
      <c r="AE310" s="43"/>
      <c r="AF310" s="43"/>
      <c r="AG310" s="43"/>
      <c r="AH310" s="43"/>
      <c r="AI310" s="43"/>
      <c r="AJ310" s="43"/>
      <c r="AK310" s="35"/>
      <c r="AL310" s="35"/>
      <c r="AM310" s="35"/>
      <c r="AN310" s="36"/>
      <c r="AO310" s="36"/>
      <c r="AP310" s="36"/>
      <c r="AQ310" s="36"/>
      <c r="AR310" s="36"/>
      <c r="AS310" s="36"/>
      <c r="AT310" s="36"/>
      <c r="AU310" s="36"/>
      <c r="AV310" s="36"/>
      <c r="AW310" s="36"/>
      <c r="AX310" s="36"/>
      <c r="AY310" s="36"/>
      <c r="AZ310" s="36"/>
      <c r="BA310" s="36"/>
      <c r="BB310" s="36"/>
      <c r="BC310" s="36"/>
      <c r="BD310" s="36"/>
      <c r="BE310" s="36"/>
    </row>
    <row r="311" spans="2:59" s="30" customFormat="1" ht="15.75" x14ac:dyDescent="0.2">
      <c r="B311" s="8" t="s">
        <v>11</v>
      </c>
      <c r="C311" s="33"/>
      <c r="D311" s="81"/>
      <c r="G311" s="33"/>
      <c r="H311" s="81"/>
      <c r="J311" s="32"/>
      <c r="K311" s="37"/>
      <c r="L311" s="37"/>
      <c r="M311" s="81"/>
      <c r="N311" s="81"/>
      <c r="O311" s="96"/>
      <c r="Q311" s="34"/>
      <c r="R311" s="43"/>
      <c r="S311" s="43"/>
      <c r="T311" s="43"/>
      <c r="U311" s="43"/>
      <c r="V311" s="43"/>
      <c r="W311" s="43"/>
      <c r="X311" s="43"/>
      <c r="Y311" s="43"/>
      <c r="Z311" s="43"/>
      <c r="AA311" s="43"/>
      <c r="AB311" s="43"/>
      <c r="AC311" s="43"/>
      <c r="AD311" s="43"/>
      <c r="AE311" s="43"/>
      <c r="AF311" s="43"/>
      <c r="AG311" s="43"/>
      <c r="AH311" s="43"/>
      <c r="AI311" s="43"/>
      <c r="AJ311" s="43"/>
      <c r="AK311" s="35"/>
      <c r="AL311" s="35"/>
      <c r="AM311" s="35"/>
      <c r="AN311" s="36"/>
      <c r="AO311" s="36"/>
      <c r="AP311" s="36"/>
      <c r="AQ311" s="36"/>
      <c r="AR311" s="36"/>
      <c r="AS311" s="36"/>
      <c r="AT311" s="36"/>
      <c r="AU311" s="36"/>
      <c r="AV311" s="36"/>
      <c r="AW311" s="36"/>
      <c r="AX311" s="36"/>
      <c r="AY311" s="36"/>
      <c r="AZ311" s="36"/>
      <c r="BA311" s="36"/>
      <c r="BB311" s="36"/>
      <c r="BC311" s="36"/>
      <c r="BD311" s="36"/>
      <c r="BE311" s="36"/>
    </row>
    <row r="312" spans="2:59" s="30" customFormat="1" ht="15.75" x14ac:dyDescent="0.2">
      <c r="B312" s="8"/>
      <c r="C312" s="33"/>
      <c r="D312" s="81"/>
      <c r="G312" s="33"/>
      <c r="H312" s="81"/>
      <c r="J312" s="32"/>
      <c r="K312" s="37" t="s">
        <v>297</v>
      </c>
      <c r="L312" s="37" t="s">
        <v>185</v>
      </c>
      <c r="M312" s="81"/>
      <c r="N312" s="81"/>
      <c r="O312" s="96"/>
      <c r="Q312" s="34"/>
      <c r="R312" s="43" t="s">
        <v>318</v>
      </c>
      <c r="S312" s="43"/>
      <c r="T312" s="43"/>
      <c r="U312" s="43"/>
      <c r="V312" s="43"/>
      <c r="W312" s="43"/>
      <c r="X312" s="43"/>
      <c r="Y312" s="43"/>
      <c r="Z312" s="43"/>
      <c r="AA312" s="43"/>
      <c r="AB312" s="43"/>
      <c r="AC312" s="43"/>
      <c r="AD312" s="43"/>
      <c r="AE312" s="43"/>
      <c r="AF312" s="43"/>
      <c r="AG312" s="43"/>
      <c r="AH312" s="43"/>
      <c r="AI312" s="43"/>
      <c r="AJ312" s="43"/>
      <c r="AK312" s="35"/>
      <c r="AL312" s="35"/>
      <c r="AM312" s="35"/>
      <c r="AN312" s="36"/>
      <c r="AO312" s="36"/>
      <c r="AP312" s="36"/>
      <c r="AQ312" s="36"/>
      <c r="AR312" s="36"/>
      <c r="AS312" s="36"/>
      <c r="AT312" s="36"/>
      <c r="AU312" s="36"/>
      <c r="AV312" s="36"/>
      <c r="AW312" s="36"/>
      <c r="AX312" s="36"/>
      <c r="AY312" s="36"/>
      <c r="AZ312" s="36"/>
      <c r="BA312" s="36"/>
      <c r="BB312" s="36"/>
      <c r="BC312" s="36"/>
      <c r="BD312" s="36"/>
      <c r="BE312" s="36"/>
    </row>
    <row r="313" spans="2:59" s="30" customFormat="1" ht="30" x14ac:dyDescent="0.2">
      <c r="B313" s="76" t="s">
        <v>466</v>
      </c>
      <c r="C313" s="156"/>
      <c r="D313" s="81" t="s">
        <v>163</v>
      </c>
      <c r="G313" s="33"/>
      <c r="H313" s="81"/>
      <c r="J313" s="32" t="s">
        <v>513</v>
      </c>
      <c r="K313" s="92">
        <f>IF(ISNUMBER(L313),L313,Muut!$F$29*IF(OR(C314=Pudotusvalikot!$V$3,C314=Pudotusvalikot!$V$4),Muut!$E$40,IF(C314=Pudotusvalikot!$V$5,Muut!$E$41,IF(C314=Pudotusvalikot!$V$6,Muut!$E$42,Muut!$E$43))))</f>
        <v>0.22753333333333334</v>
      </c>
      <c r="L313" s="61"/>
      <c r="M313" s="40" t="s">
        <v>207</v>
      </c>
      <c r="N313" s="40"/>
      <c r="O313" s="259"/>
      <c r="Q313" s="34"/>
      <c r="R313" s="236" t="str">
        <f>IF(AND(ISNUMBER(K313),ISNUMBER(C313)),K313*C313,"")</f>
        <v/>
      </c>
      <c r="S313" s="226" t="s">
        <v>160</v>
      </c>
      <c r="T313" s="216"/>
      <c r="U313" s="216"/>
      <c r="V313" s="216"/>
      <c r="W313" s="43"/>
      <c r="X313" s="43"/>
      <c r="Y313" s="43"/>
      <c r="Z313" s="43"/>
      <c r="AA313" s="43"/>
      <c r="AB313" s="43"/>
      <c r="AC313" s="43"/>
      <c r="AD313" s="43"/>
      <c r="AE313" s="43"/>
      <c r="AF313" s="43"/>
      <c r="AG313" s="43"/>
      <c r="AH313" s="43"/>
      <c r="AI313" s="43"/>
      <c r="AJ313" s="43"/>
      <c r="AK313" s="35"/>
      <c r="AL313" s="35"/>
      <c r="AM313" s="35"/>
      <c r="AN313" s="36"/>
      <c r="AO313" s="36"/>
      <c r="AP313" s="36"/>
      <c r="AQ313" s="36"/>
      <c r="AR313" s="36"/>
      <c r="AS313" s="36"/>
      <c r="AT313" s="36"/>
      <c r="AU313" s="36"/>
      <c r="AV313" s="36"/>
      <c r="AW313" s="36"/>
      <c r="AX313" s="36"/>
      <c r="AY313" s="36"/>
      <c r="AZ313" s="36"/>
      <c r="BA313" s="36"/>
      <c r="BB313" s="36"/>
      <c r="BC313" s="36"/>
      <c r="BD313" s="36"/>
      <c r="BE313" s="36"/>
    </row>
    <row r="314" spans="2:59" s="30" customFormat="1" ht="15" x14ac:dyDescent="0.2">
      <c r="B314" s="166" t="s">
        <v>460</v>
      </c>
      <c r="C314" s="156" t="s">
        <v>223</v>
      </c>
      <c r="D314" s="33"/>
      <c r="E314" s="33"/>
      <c r="F314" s="33"/>
      <c r="G314" s="33"/>
      <c r="H314" s="57"/>
      <c r="J314" s="169"/>
      <c r="K314" s="169"/>
      <c r="L314" s="169"/>
      <c r="M314" s="40"/>
      <c r="N314" s="40"/>
      <c r="O314" s="259"/>
      <c r="Q314" s="45"/>
      <c r="R314" s="216"/>
      <c r="S314" s="226"/>
      <c r="T314" s="43"/>
      <c r="U314" s="43"/>
      <c r="V314" s="215"/>
      <c r="W314" s="215"/>
      <c r="X314" s="216"/>
      <c r="Y314" s="43"/>
      <c r="Z314" s="216"/>
      <c r="AA314" s="217"/>
      <c r="AB314" s="216"/>
      <c r="AC314" s="216"/>
      <c r="AD314" s="216"/>
      <c r="AE314" s="216"/>
      <c r="AF314" s="217"/>
      <c r="AG314" s="216"/>
      <c r="AH314" s="43"/>
      <c r="AI314" s="43"/>
      <c r="AJ314" s="43"/>
      <c r="AK314" s="104"/>
      <c r="AL314" s="35"/>
      <c r="AM314" s="35"/>
      <c r="AN314" s="36"/>
      <c r="AO314" s="36"/>
      <c r="AP314" s="36"/>
      <c r="AQ314" s="36"/>
      <c r="AR314" s="36"/>
      <c r="AS314" s="36"/>
      <c r="AT314" s="36"/>
      <c r="AU314" s="36"/>
      <c r="AV314" s="36"/>
      <c r="AW314" s="36"/>
      <c r="AX314" s="36"/>
      <c r="AY314" s="36"/>
      <c r="AZ314" s="36"/>
      <c r="BA314" s="36"/>
      <c r="BB314" s="36"/>
      <c r="BC314" s="36"/>
      <c r="BD314" s="36"/>
      <c r="BE314" s="36"/>
    </row>
    <row r="315" spans="2:59" s="30" customFormat="1" ht="45" x14ac:dyDescent="0.2">
      <c r="B315" s="76" t="s">
        <v>544</v>
      </c>
      <c r="C315" s="156"/>
      <c r="D315" s="81" t="s">
        <v>163</v>
      </c>
      <c r="G315" s="33"/>
      <c r="H315" s="81"/>
      <c r="J315" s="32" t="s">
        <v>471</v>
      </c>
      <c r="K315" s="134">
        <f>IF(ISNUMBER(L315),L315,Muut!$F$30)</f>
        <v>9.4500000000000011</v>
      </c>
      <c r="L315" s="181"/>
      <c r="M315" s="40" t="s">
        <v>207</v>
      </c>
      <c r="N315" s="40"/>
      <c r="O315" s="259"/>
      <c r="Q315" s="34"/>
      <c r="R315" s="236" t="str">
        <f>IF(AND(ISNUMBER(K315),ISNUMBER(C315)),K315*C315,"")</f>
        <v/>
      </c>
      <c r="S315" s="226" t="s">
        <v>160</v>
      </c>
      <c r="T315" s="43"/>
      <c r="U315" s="43"/>
      <c r="V315" s="43"/>
      <c r="W315" s="43"/>
      <c r="X315" s="43"/>
      <c r="Y315" s="43"/>
      <c r="Z315" s="43"/>
      <c r="AA315" s="43"/>
      <c r="AB315" s="43"/>
      <c r="AC315" s="43"/>
      <c r="AD315" s="43"/>
      <c r="AE315" s="43"/>
      <c r="AF315" s="43"/>
      <c r="AG315" s="43"/>
      <c r="AH315" s="43"/>
      <c r="AI315" s="43"/>
      <c r="AJ315" s="43"/>
      <c r="AK315" s="35"/>
      <c r="AL315" s="35"/>
      <c r="AM315" s="35"/>
      <c r="AN315" s="36"/>
      <c r="AO315" s="36"/>
      <c r="AP315" s="36"/>
      <c r="AQ315" s="36"/>
      <c r="AR315" s="36"/>
      <c r="AS315" s="36"/>
      <c r="AT315" s="36"/>
      <c r="AU315" s="36"/>
      <c r="AV315" s="36"/>
      <c r="AW315" s="36"/>
      <c r="AX315" s="36"/>
      <c r="AY315" s="36"/>
      <c r="AZ315" s="36"/>
      <c r="BA315" s="36"/>
      <c r="BB315" s="36"/>
      <c r="BC315" s="36"/>
      <c r="BD315" s="36"/>
      <c r="BE315" s="36"/>
    </row>
    <row r="316" spans="2:59" s="30" customFormat="1" ht="45" x14ac:dyDescent="0.2">
      <c r="B316" s="166" t="s">
        <v>520</v>
      </c>
      <c r="C316" s="156"/>
      <c r="D316" s="81" t="s">
        <v>8</v>
      </c>
      <c r="E316" s="33"/>
      <c r="F316" s="33"/>
      <c r="G316" s="33"/>
      <c r="H316" s="81"/>
      <c r="J316" s="32" t="s">
        <v>472</v>
      </c>
      <c r="K316" s="108">
        <f>IF(ISNUMBER(L316),L316,Muut!$F$32)</f>
        <v>9.4500000000000011</v>
      </c>
      <c r="L316" s="181"/>
      <c r="M316" s="40" t="s">
        <v>207</v>
      </c>
      <c r="N316" s="40"/>
      <c r="O316" s="259"/>
      <c r="Q316" s="34"/>
      <c r="R316" s="236" t="str">
        <f>IF(AND(ISNUMBER(K316),ISNUMBER(C315)),-K316*C315,"")</f>
        <v/>
      </c>
      <c r="S316" s="226" t="s">
        <v>160</v>
      </c>
      <c r="T316" s="226" t="s">
        <v>473</v>
      </c>
      <c r="U316" s="43"/>
      <c r="V316" s="43"/>
      <c r="W316" s="43"/>
      <c r="X316" s="43"/>
      <c r="Y316" s="43"/>
      <c r="Z316" s="43"/>
      <c r="AA316" s="43"/>
      <c r="AB316" s="43"/>
      <c r="AC316" s="43"/>
      <c r="AD316" s="43"/>
      <c r="AE316" s="43"/>
      <c r="AF316" s="43"/>
      <c r="AG316" s="43"/>
      <c r="AH316" s="43"/>
      <c r="AI316" s="43"/>
      <c r="AJ316" s="43"/>
      <c r="AK316" s="35"/>
      <c r="AL316" s="35"/>
      <c r="AM316" s="35"/>
      <c r="AN316" s="36"/>
      <c r="AO316" s="36"/>
      <c r="AP316" s="36"/>
      <c r="AQ316" s="36"/>
      <c r="AR316" s="36"/>
      <c r="AS316" s="36"/>
      <c r="AT316" s="36"/>
      <c r="AU316" s="36"/>
      <c r="AV316" s="36"/>
      <c r="AW316" s="36"/>
      <c r="AX316" s="36"/>
      <c r="AY316" s="36"/>
      <c r="AZ316" s="36"/>
      <c r="BA316" s="36"/>
      <c r="BB316" s="36"/>
      <c r="BC316" s="36"/>
      <c r="BD316" s="36"/>
      <c r="BE316" s="36"/>
    </row>
    <row r="317" spans="2:59" s="30" customFormat="1" ht="15" x14ac:dyDescent="0.2">
      <c r="B317" s="73"/>
      <c r="C317" s="33"/>
      <c r="D317" s="81"/>
      <c r="G317" s="33"/>
      <c r="H317" s="81"/>
      <c r="J317" s="32"/>
      <c r="P317" s="67"/>
      <c r="Q317" s="104"/>
      <c r="R317" s="237"/>
      <c r="S317" s="220"/>
      <c r="T317" s="170"/>
      <c r="U317" s="43"/>
      <c r="V317" s="43"/>
      <c r="W317" s="43"/>
      <c r="X317" s="43"/>
      <c r="Y317" s="43"/>
      <c r="Z317" s="43"/>
      <c r="AA317" s="43"/>
      <c r="AB317" s="43"/>
      <c r="AC317" s="43"/>
      <c r="AD317" s="43"/>
      <c r="AE317" s="43"/>
      <c r="AF317" s="43"/>
      <c r="AG317" s="43"/>
      <c r="AH317" s="43"/>
      <c r="AI317" s="43"/>
      <c r="AJ317" s="43"/>
      <c r="AK317" s="35"/>
      <c r="AL317" s="35"/>
      <c r="AM317" s="35"/>
      <c r="AN317" s="35"/>
      <c r="AO317" s="35"/>
      <c r="AP317" s="36"/>
      <c r="AQ317" s="36"/>
      <c r="AR317" s="36"/>
      <c r="AS317" s="36"/>
      <c r="AT317" s="36"/>
      <c r="AU317" s="36"/>
      <c r="AV317" s="36"/>
      <c r="AW317" s="36"/>
      <c r="AX317" s="36"/>
      <c r="AY317" s="36"/>
      <c r="AZ317" s="36"/>
      <c r="BA317" s="36"/>
      <c r="BB317" s="36"/>
      <c r="BC317" s="36"/>
      <c r="BD317" s="36"/>
      <c r="BE317" s="36"/>
      <c r="BF317" s="36"/>
      <c r="BG317" s="36"/>
    </row>
    <row r="318" spans="2:59" s="192" customFormat="1" ht="23.25" x14ac:dyDescent="0.2">
      <c r="B318" s="193" t="s">
        <v>558</v>
      </c>
      <c r="C318" s="194"/>
      <c r="D318" s="195"/>
      <c r="G318" s="194"/>
      <c r="H318" s="195"/>
      <c r="J318" s="196"/>
      <c r="P318" s="197"/>
      <c r="Q318" s="198"/>
      <c r="R318" s="231"/>
      <c r="S318" s="242"/>
      <c r="T318" s="209"/>
      <c r="U318" s="210"/>
      <c r="V318" s="210"/>
      <c r="W318" s="210"/>
      <c r="X318" s="210"/>
      <c r="Y318" s="210"/>
      <c r="Z318" s="210"/>
      <c r="AA318" s="210"/>
      <c r="AB318" s="210"/>
      <c r="AC318" s="210"/>
      <c r="AD318" s="210"/>
      <c r="AE318" s="210"/>
      <c r="AF318" s="210"/>
      <c r="AG318" s="210"/>
      <c r="AH318" s="210"/>
      <c r="AI318" s="210"/>
      <c r="AJ318" s="210"/>
      <c r="AK318" s="201"/>
      <c r="AL318" s="201"/>
      <c r="AM318" s="201"/>
      <c r="AN318" s="201"/>
      <c r="AO318" s="201"/>
      <c r="AP318" s="200"/>
      <c r="AQ318" s="200"/>
      <c r="AR318" s="200"/>
      <c r="AS318" s="200"/>
      <c r="AT318" s="200"/>
      <c r="AU318" s="200"/>
      <c r="AV318" s="200"/>
      <c r="AW318" s="200"/>
      <c r="AX318" s="200"/>
      <c r="AY318" s="200"/>
      <c r="AZ318" s="200"/>
      <c r="BA318" s="200"/>
      <c r="BB318" s="200"/>
      <c r="BC318" s="200"/>
      <c r="BD318" s="200"/>
      <c r="BE318" s="200"/>
      <c r="BF318" s="200"/>
      <c r="BG318" s="200"/>
    </row>
    <row r="319" spans="2:59" s="30" customFormat="1" ht="15" x14ac:dyDescent="0.2">
      <c r="C319" s="33"/>
      <c r="D319" s="81"/>
      <c r="G319" s="33"/>
      <c r="H319" s="81"/>
      <c r="P319" s="67"/>
      <c r="Q319" s="104"/>
      <c r="R319" s="237"/>
      <c r="S319" s="220"/>
      <c r="T319" s="170"/>
      <c r="U319" s="43"/>
      <c r="V319" s="43"/>
      <c r="W319" s="43"/>
      <c r="X319" s="43"/>
      <c r="Y319" s="43"/>
      <c r="Z319" s="43"/>
      <c r="AA319" s="43"/>
      <c r="AB319" s="43"/>
      <c r="AC319" s="43"/>
      <c r="AD319" s="43"/>
      <c r="AE319" s="43"/>
      <c r="AF319" s="43"/>
      <c r="AG319" s="43"/>
      <c r="AH319" s="43"/>
      <c r="AI319" s="43"/>
      <c r="AJ319" s="43"/>
      <c r="AK319" s="35"/>
      <c r="AL319" s="35"/>
      <c r="AM319" s="35"/>
      <c r="AN319" s="35"/>
      <c r="AO319" s="35"/>
      <c r="AP319" s="36"/>
      <c r="AQ319" s="36"/>
      <c r="AR319" s="36"/>
      <c r="AS319" s="36"/>
      <c r="AT319" s="36"/>
      <c r="AU319" s="36"/>
      <c r="AV319" s="36"/>
      <c r="AW319" s="36"/>
      <c r="AX319" s="36"/>
      <c r="AY319" s="36"/>
      <c r="AZ319" s="36"/>
      <c r="BA319" s="36"/>
      <c r="BB319" s="36"/>
      <c r="BC319" s="36"/>
      <c r="BD319" s="36"/>
      <c r="BE319" s="36"/>
      <c r="BF319" s="36"/>
      <c r="BG319" s="36"/>
    </row>
    <row r="320" spans="2:59" s="289" customFormat="1" ht="18" x14ac:dyDescent="0.2">
      <c r="B320" s="286" t="s">
        <v>42</v>
      </c>
      <c r="C320" s="287"/>
      <c r="D320" s="288"/>
      <c r="G320" s="287"/>
      <c r="H320" s="288"/>
      <c r="K320" s="287"/>
      <c r="L320" s="287"/>
      <c r="M320" s="288"/>
      <c r="N320" s="288"/>
      <c r="O320" s="291"/>
      <c r="P320" s="311"/>
      <c r="Q320" s="295"/>
      <c r="R320" s="289" t="str">
        <f>IF(OR(ISNUMBER(#REF!),ISNUMBER(#REF!),ISNUMBER(#REF!)),SUM(#REF!,#REF!,#REF!),"")</f>
        <v/>
      </c>
      <c r="S320" s="294"/>
      <c r="T320" s="294"/>
      <c r="U320" s="294"/>
      <c r="V320" s="294"/>
      <c r="W320" s="294"/>
      <c r="X320" s="294"/>
      <c r="Y320" s="294"/>
      <c r="Z320" s="294"/>
      <c r="AA320" s="294"/>
      <c r="AB320" s="294"/>
      <c r="AC320" s="294"/>
      <c r="AD320" s="294"/>
      <c r="AE320" s="294"/>
      <c r="AF320" s="294"/>
      <c r="AG320" s="294"/>
      <c r="AH320" s="294"/>
      <c r="AI320" s="294"/>
      <c r="AJ320" s="294"/>
      <c r="AK320" s="294"/>
      <c r="AL320" s="294"/>
      <c r="AM320" s="294"/>
      <c r="AN320" s="295"/>
      <c r="AO320" s="295"/>
      <c r="AP320" s="295"/>
      <c r="AQ320" s="295"/>
      <c r="AR320" s="295"/>
      <c r="AS320" s="295"/>
      <c r="AT320" s="295"/>
      <c r="AU320" s="295"/>
      <c r="AV320" s="295"/>
      <c r="AW320" s="295"/>
      <c r="AX320" s="295"/>
      <c r="AY320" s="295"/>
      <c r="AZ320" s="295"/>
      <c r="BA320" s="295"/>
      <c r="BB320" s="295"/>
      <c r="BC320" s="295"/>
      <c r="BD320" s="295"/>
      <c r="BE320" s="295"/>
    </row>
    <row r="321" spans="2:57" s="30" customFormat="1" ht="15.75" x14ac:dyDescent="0.2">
      <c r="B321" s="8"/>
      <c r="C321" s="33"/>
      <c r="D321" s="81"/>
      <c r="G321" s="33" t="s">
        <v>43</v>
      </c>
      <c r="H321" s="81"/>
      <c r="K321" s="37" t="s">
        <v>297</v>
      </c>
      <c r="L321" s="37" t="s">
        <v>185</v>
      </c>
      <c r="M321" s="81"/>
      <c r="N321" s="81"/>
      <c r="O321" s="249" t="s">
        <v>584</v>
      </c>
      <c r="Q321" s="34"/>
      <c r="R321" s="43" t="s">
        <v>318</v>
      </c>
      <c r="S321" s="43"/>
      <c r="T321" s="43" t="s">
        <v>238</v>
      </c>
      <c r="U321" s="43" t="s">
        <v>239</v>
      </c>
      <c r="V321" s="43" t="s">
        <v>240</v>
      </c>
      <c r="W321" s="43" t="s">
        <v>243</v>
      </c>
      <c r="X321" s="43" t="s">
        <v>241</v>
      </c>
      <c r="Y321" s="43" t="s">
        <v>242</v>
      </c>
      <c r="Z321" s="43" t="s">
        <v>244</v>
      </c>
      <c r="AA321" s="220"/>
      <c r="AB321" s="43"/>
      <c r="AC321" s="43"/>
      <c r="AD321" s="43"/>
      <c r="AE321" s="43"/>
      <c r="AF321" s="43"/>
      <c r="AG321" s="43"/>
      <c r="AH321" s="43"/>
      <c r="AI321" s="43"/>
      <c r="AJ321" s="43"/>
      <c r="AK321" s="35"/>
      <c r="AL321" s="35"/>
      <c r="AM321" s="35"/>
      <c r="AN321" s="36"/>
      <c r="AO321" s="36"/>
      <c r="AP321" s="36"/>
      <c r="AQ321" s="36"/>
      <c r="AR321" s="36"/>
      <c r="AS321" s="36"/>
      <c r="AT321" s="36"/>
      <c r="AU321" s="36"/>
      <c r="AV321" s="36"/>
      <c r="AW321" s="36"/>
      <c r="AX321" s="36"/>
      <c r="AY321" s="36"/>
      <c r="AZ321" s="36"/>
      <c r="BA321" s="36"/>
      <c r="BB321" s="36"/>
      <c r="BC321" s="36"/>
      <c r="BD321" s="36"/>
      <c r="BE321" s="36"/>
    </row>
    <row r="322" spans="2:57" s="30" customFormat="1" ht="15" x14ac:dyDescent="0.2">
      <c r="B322" s="52" t="s">
        <v>526</v>
      </c>
      <c r="C322" s="156"/>
      <c r="D322" s="81" t="s">
        <v>215</v>
      </c>
      <c r="G322" s="156"/>
      <c r="H322" s="81" t="s">
        <v>44</v>
      </c>
      <c r="J322" s="32" t="s">
        <v>514</v>
      </c>
      <c r="K322" s="108" t="str">
        <f>IFERROR(IF(ISNUMBER(L322),L322,VLOOKUP(C324,Kalusto!$C$100:$E$105,3,FALSE)),"--")</f>
        <v>--</v>
      </c>
      <c r="L322" s="61"/>
      <c r="M322" s="75" t="str">
        <f>IF(C324=Pudotusvalikot!$J$9,"kWh/100 km",IF(C324=Pudotusvalikot!$J$6,"kg/100 km","l/100 km"))</f>
        <v>l/100 km</v>
      </c>
      <c r="N322" s="75"/>
      <c r="O322" s="250"/>
      <c r="Q322" s="34"/>
      <c r="R322" s="236">
        <f>SUM(U322:Z322)</f>
        <v>0</v>
      </c>
      <c r="S322" s="226" t="s">
        <v>160</v>
      </c>
      <c r="T322" s="211">
        <f>IF(ISNUMBER(C323*C322*G322),C323*C322*G322,"")</f>
        <v>0</v>
      </c>
      <c r="U322" s="213">
        <f>IF(ISNUMBER(T322),IF(C324=Pudotusvalikot!$J$5,(Muut!$F$16+Muut!$F$19)*(T322*K322/100),0),"")</f>
        <v>0</v>
      </c>
      <c r="V322" s="213">
        <f>IF(ISNUMBER(T322),IF(C324=Pudotusvalikot!$J$4,(Muut!$F$15+Muut!$F$18)*(T322*K322/100),0),"")</f>
        <v>0</v>
      </c>
      <c r="W322" s="213">
        <f>IF(ISNUMBER(T322),IF(C324=Pudotusvalikot!$J$6,(Muut!$F$17+Muut!$F$20)*(T322*K322/100),0),"")</f>
        <v>0</v>
      </c>
      <c r="X322" s="213">
        <f>IF(ISNUMBER(T322),IF(C324=Pudotusvalikot!$J$7,((Muut!$F$16+Muut!$F$19)*(100%-Kalusto!$O$103)+(Muut!$F$15+Muut!$F$18)*Kalusto!$O$103)*(T322*K322/100),0),"")</f>
        <v>0</v>
      </c>
      <c r="Y322" s="224">
        <f>IF(ISNUMBER(T322),IF(C324=Pudotusvalikot!$J$8,((Kalusto!$K$104)*(100%-Kalusto!$O$104)+(Kalusto!$M$104)*Kalusto!$O$104)*(Muut!$F$14+Muut!$F$13)/100*T322/1000+((Kalusto!$G$104)*(100%-Kalusto!$O$104)+(Kalusto!$I$104)*Kalusto!$O$104)*(K322+Muut!$F$19)/100*T322,0),"")</f>
        <v>0</v>
      </c>
      <c r="Z322" s="224">
        <f>IF(ISNUMBER(T322),IF(C324=Pudotusvalikot!$J$9,Kalusto!$E$105*(K322+Muut!$F$13)/100*T322/1000,0),"")</f>
        <v>0</v>
      </c>
      <c r="AA322" s="220"/>
      <c r="AB322" s="43"/>
      <c r="AC322" s="43"/>
      <c r="AD322" s="43"/>
      <c r="AE322" s="43"/>
      <c r="AF322" s="43"/>
      <c r="AG322" s="43"/>
      <c r="AH322" s="43"/>
      <c r="AI322" s="43"/>
      <c r="AJ322" s="43"/>
      <c r="AK322" s="35"/>
      <c r="AL322" s="35"/>
      <c r="AM322" s="35"/>
      <c r="AN322" s="36"/>
      <c r="AO322" s="36"/>
      <c r="AP322" s="36"/>
      <c r="AQ322" s="36"/>
      <c r="AR322" s="36"/>
      <c r="AS322" s="36"/>
      <c r="AT322" s="36"/>
      <c r="AU322" s="36"/>
      <c r="AV322" s="36"/>
      <c r="AW322" s="36"/>
      <c r="AX322" s="36"/>
      <c r="AY322" s="36"/>
      <c r="AZ322" s="36"/>
      <c r="BA322" s="36"/>
      <c r="BB322" s="36"/>
      <c r="BC322" s="36"/>
      <c r="BD322" s="36"/>
      <c r="BE322" s="36"/>
    </row>
    <row r="323" spans="2:57" s="30" customFormat="1" ht="15" x14ac:dyDescent="0.2">
      <c r="B323" s="52" t="s">
        <v>525</v>
      </c>
      <c r="C323" s="157"/>
      <c r="D323" s="81" t="s">
        <v>5</v>
      </c>
      <c r="G323" s="33"/>
      <c r="H323" s="81"/>
      <c r="J323" s="32"/>
      <c r="K323" s="33"/>
      <c r="L323" s="33"/>
      <c r="M323" s="81"/>
      <c r="N323" s="81"/>
      <c r="O323" s="96"/>
      <c r="Q323" s="34"/>
      <c r="R323" s="102"/>
      <c r="S323" s="43"/>
      <c r="T323" s="43"/>
      <c r="U323" s="43"/>
      <c r="V323" s="43"/>
      <c r="W323" s="43"/>
      <c r="X323" s="43"/>
      <c r="Y323" s="43"/>
      <c r="Z323" s="43"/>
      <c r="AA323" s="43"/>
      <c r="AB323" s="43"/>
      <c r="AC323" s="43"/>
      <c r="AD323" s="43"/>
      <c r="AE323" s="43"/>
      <c r="AF323" s="43"/>
      <c r="AG323" s="43"/>
      <c r="AH323" s="43"/>
      <c r="AI323" s="43"/>
      <c r="AJ323" s="43"/>
      <c r="AK323" s="35"/>
      <c r="AL323" s="35"/>
      <c r="AM323" s="35"/>
      <c r="AN323" s="36"/>
      <c r="AO323" s="36"/>
      <c r="AP323" s="36"/>
      <c r="AQ323" s="36"/>
      <c r="AR323" s="36"/>
      <c r="AS323" s="36"/>
      <c r="AT323" s="36"/>
      <c r="AU323" s="36"/>
      <c r="AV323" s="36"/>
      <c r="AW323" s="36"/>
      <c r="AX323" s="36"/>
      <c r="AY323" s="36"/>
      <c r="AZ323" s="36"/>
      <c r="BA323" s="36"/>
      <c r="BB323" s="36"/>
      <c r="BC323" s="36"/>
      <c r="BD323" s="36"/>
      <c r="BE323" s="36"/>
    </row>
    <row r="324" spans="2:57" s="30" customFormat="1" ht="15" x14ac:dyDescent="0.2">
      <c r="B324" s="52" t="s">
        <v>524</v>
      </c>
      <c r="C324" s="474" t="s">
        <v>309</v>
      </c>
      <c r="D324" s="474"/>
      <c r="G324" s="33"/>
      <c r="H324" s="81"/>
      <c r="J324" s="32"/>
      <c r="K324" s="33"/>
      <c r="L324" s="33"/>
      <c r="M324" s="81"/>
      <c r="N324" s="81"/>
      <c r="O324" s="96"/>
      <c r="Q324" s="34"/>
      <c r="R324" s="102"/>
      <c r="S324" s="43"/>
      <c r="T324" s="43"/>
      <c r="U324" s="43"/>
      <c r="V324" s="43"/>
      <c r="W324" s="43"/>
      <c r="X324" s="43"/>
      <c r="Y324" s="43"/>
      <c r="Z324" s="43"/>
      <c r="AA324" s="43"/>
      <c r="AB324" s="43"/>
      <c r="AC324" s="43"/>
      <c r="AD324" s="43"/>
      <c r="AE324" s="43"/>
      <c r="AF324" s="43"/>
      <c r="AG324" s="43"/>
      <c r="AH324" s="43"/>
      <c r="AI324" s="43"/>
      <c r="AJ324" s="43"/>
      <c r="AK324" s="35"/>
      <c r="AL324" s="35"/>
      <c r="AM324" s="35"/>
      <c r="AN324" s="36"/>
      <c r="AO324" s="36"/>
      <c r="AP324" s="36"/>
      <c r="AQ324" s="36"/>
      <c r="AR324" s="36"/>
      <c r="AS324" s="36"/>
      <c r="AT324" s="36"/>
      <c r="AU324" s="36"/>
      <c r="AV324" s="36"/>
      <c r="AW324" s="36"/>
      <c r="AX324" s="36"/>
      <c r="AY324" s="36"/>
      <c r="AZ324" s="36"/>
      <c r="BA324" s="36"/>
      <c r="BB324" s="36"/>
      <c r="BC324" s="36"/>
      <c r="BD324" s="36"/>
      <c r="BE324" s="36"/>
    </row>
    <row r="326" spans="2:57" ht="13.9" hidden="1" customHeight="1" x14ac:dyDescent="0.2"/>
    <row r="327" spans="2:57" ht="13.9" hidden="1" customHeight="1" x14ac:dyDescent="0.2"/>
    <row r="328" spans="2:57" ht="13.9" hidden="1" customHeight="1" x14ac:dyDescent="0.2"/>
    <row r="329" spans="2:57" ht="13.9" hidden="1" customHeight="1" x14ac:dyDescent="0.2"/>
    <row r="330" spans="2:57" ht="13.9" hidden="1" customHeight="1" x14ac:dyDescent="0.2"/>
    <row r="331" spans="2:57" ht="13.9" hidden="1" customHeight="1" x14ac:dyDescent="0.2"/>
    <row r="332" spans="2:57" ht="13.9" hidden="1" customHeight="1" x14ac:dyDescent="0.2"/>
    <row r="333" spans="2:57" ht="13.9" hidden="1" customHeight="1" x14ac:dyDescent="0.2"/>
    <row r="334" spans="2:57" ht="13.9" hidden="1" customHeight="1" x14ac:dyDescent="0.2"/>
    <row r="335" spans="2:57" ht="13.9" hidden="1" customHeight="1" x14ac:dyDescent="0.2"/>
    <row r="336" spans="2:57" ht="13.9" hidden="1" customHeight="1" x14ac:dyDescent="0.2"/>
    <row r="337" ht="13.9" hidden="1" customHeight="1" x14ac:dyDescent="0.2"/>
    <row r="338" ht="13.9" hidden="1" customHeight="1" x14ac:dyDescent="0.2"/>
    <row r="339" ht="13.9" hidden="1" customHeight="1" x14ac:dyDescent="0.2"/>
    <row r="340" ht="13.9" hidden="1" customHeight="1" x14ac:dyDescent="0.2"/>
    <row r="341" ht="13.9" hidden="1" customHeight="1" x14ac:dyDescent="0.2"/>
    <row r="342" ht="13.9" hidden="1" customHeight="1" x14ac:dyDescent="0.2"/>
    <row r="343" ht="13.9" hidden="1" customHeight="1" x14ac:dyDescent="0.2"/>
    <row r="344" ht="13.9" hidden="1" customHeight="1" x14ac:dyDescent="0.2"/>
    <row r="345" ht="13.9" hidden="1" customHeight="1" x14ac:dyDescent="0.2"/>
    <row r="346" ht="13.9" hidden="1" customHeight="1" x14ac:dyDescent="0.2"/>
    <row r="347" ht="13.9" hidden="1" customHeight="1" x14ac:dyDescent="0.2"/>
    <row r="348" ht="13.9" hidden="1" customHeight="1" x14ac:dyDescent="0.2"/>
    <row r="349" ht="13.9" hidden="1" customHeight="1" x14ac:dyDescent="0.2"/>
    <row r="350" ht="13.9" hidden="1" customHeight="1" x14ac:dyDescent="0.2"/>
    <row r="351" ht="13.9" hidden="1" customHeight="1" x14ac:dyDescent="0.2"/>
    <row r="352" ht="13.9" hidden="1" customHeight="1" x14ac:dyDescent="0.2"/>
    <row r="353" ht="13.9" hidden="1" customHeight="1" x14ac:dyDescent="0.2"/>
    <row r="354" ht="13.9" hidden="1" customHeight="1" x14ac:dyDescent="0.2"/>
    <row r="355" ht="13.9" hidden="1" customHeight="1" x14ac:dyDescent="0.2"/>
    <row r="356" ht="13.9" hidden="1" customHeight="1" x14ac:dyDescent="0.2"/>
    <row r="357" ht="13.9" hidden="1" customHeight="1" x14ac:dyDescent="0.2"/>
    <row r="358" ht="13.9" hidden="1" customHeight="1" x14ac:dyDescent="0.2"/>
    <row r="359" ht="13.9" hidden="1" customHeight="1" x14ac:dyDescent="0.2"/>
    <row r="360" ht="13.9" hidden="1" customHeight="1" x14ac:dyDescent="0.2"/>
    <row r="361" ht="13.9" hidden="1" customHeight="1" x14ac:dyDescent="0.2"/>
    <row r="362" ht="13.9" hidden="1" customHeight="1" x14ac:dyDescent="0.2"/>
    <row r="363" ht="13.9" hidden="1" customHeight="1" x14ac:dyDescent="0.2"/>
    <row r="364" ht="13.9" hidden="1" customHeight="1" x14ac:dyDescent="0.2"/>
    <row r="365" ht="13.9" hidden="1" customHeight="1" x14ac:dyDescent="0.2"/>
    <row r="366" ht="13.9" hidden="1" customHeight="1" x14ac:dyDescent="0.2"/>
    <row r="367" ht="13.9" hidden="1" customHeight="1" x14ac:dyDescent="0.2"/>
    <row r="368" ht="13.9" hidden="1" customHeight="1" x14ac:dyDescent="0.2"/>
    <row r="369" ht="13.9" hidden="1" customHeight="1" x14ac:dyDescent="0.2"/>
    <row r="370" ht="13.9" hidden="1" customHeight="1" x14ac:dyDescent="0.2"/>
    <row r="371" ht="13.9" hidden="1" customHeight="1" x14ac:dyDescent="0.2"/>
    <row r="372" ht="13.9" hidden="1" customHeight="1" x14ac:dyDescent="0.2"/>
    <row r="373" ht="13.9" hidden="1" customHeight="1" x14ac:dyDescent="0.2"/>
    <row r="374" ht="13.9" hidden="1" customHeight="1" x14ac:dyDescent="0.2"/>
    <row r="375" ht="13.9" hidden="1" customHeight="1" x14ac:dyDescent="0.2"/>
    <row r="376" ht="13.9" hidden="1" customHeight="1" x14ac:dyDescent="0.2"/>
    <row r="377" ht="13.9" hidden="1" customHeight="1" x14ac:dyDescent="0.2"/>
    <row r="378" ht="13.9" hidden="1" customHeight="1" x14ac:dyDescent="0.2"/>
    <row r="379" ht="13.9" hidden="1" customHeight="1" x14ac:dyDescent="0.2"/>
    <row r="380" ht="13.9" hidden="1" customHeight="1" x14ac:dyDescent="0.2"/>
    <row r="381" ht="13.9" hidden="1" customHeight="1" x14ac:dyDescent="0.2"/>
    <row r="382" ht="13.9" hidden="1" customHeight="1" x14ac:dyDescent="0.2"/>
    <row r="383" ht="13.9" hidden="1" customHeight="1" x14ac:dyDescent="0.2"/>
    <row r="384" ht="13.9" hidden="1" customHeight="1" x14ac:dyDescent="0.2"/>
    <row r="385" ht="13.9" hidden="1" customHeight="1" x14ac:dyDescent="0.2"/>
    <row r="386" ht="13.9" hidden="1" customHeight="1" x14ac:dyDescent="0.2"/>
    <row r="387" ht="13.9" hidden="1" customHeight="1" x14ac:dyDescent="0.2"/>
    <row r="388" ht="13.9" hidden="1" customHeight="1" x14ac:dyDescent="0.2"/>
    <row r="389" ht="13.9" hidden="1" customHeight="1" x14ac:dyDescent="0.2"/>
    <row r="390" ht="13.9" hidden="1" customHeight="1" x14ac:dyDescent="0.2"/>
    <row r="391" ht="13.9" hidden="1" customHeight="1" x14ac:dyDescent="0.2"/>
    <row r="392" ht="13.9" hidden="1" customHeight="1" x14ac:dyDescent="0.2"/>
    <row r="393" ht="13.9" hidden="1" customHeight="1" x14ac:dyDescent="0.2"/>
    <row r="394" ht="13.9" hidden="1" customHeight="1" x14ac:dyDescent="0.2"/>
    <row r="395" ht="13.9" hidden="1" customHeight="1" x14ac:dyDescent="0.2"/>
    <row r="396" ht="13.9" hidden="1" customHeight="1" x14ac:dyDescent="0.2"/>
    <row r="397" ht="13.9" hidden="1" customHeight="1" x14ac:dyDescent="0.2"/>
    <row r="398" ht="13.9" hidden="1" customHeight="1" x14ac:dyDescent="0.2"/>
    <row r="399" ht="13.9" hidden="1" customHeight="1" x14ac:dyDescent="0.2"/>
    <row r="400" ht="13.9" hidden="1" customHeight="1" x14ac:dyDescent="0.2"/>
    <row r="401" spans="4:59" ht="13.9" hidden="1" customHeight="1" x14ac:dyDescent="0.2"/>
    <row r="402" spans="4:59" ht="13.9" hidden="1" customHeight="1" x14ac:dyDescent="0.2"/>
    <row r="403" spans="4:59" ht="13.9" hidden="1" customHeight="1" x14ac:dyDescent="0.2"/>
    <row r="404" spans="4:59" ht="13.9" hidden="1" customHeight="1" x14ac:dyDescent="0.2"/>
    <row r="405" spans="4:59" ht="13.9" hidden="1" customHeight="1" x14ac:dyDescent="0.2"/>
    <row r="406" spans="4:59" ht="13.9" hidden="1" customHeight="1" x14ac:dyDescent="0.2"/>
    <row r="408" spans="4:59" ht="13.9" customHeight="1" x14ac:dyDescent="0.2">
      <c r="D408" s="84"/>
      <c r="H408" s="84"/>
      <c r="M408" s="84"/>
      <c r="N408" s="84"/>
      <c r="O408" s="84"/>
      <c r="Q408" s="23"/>
      <c r="R408" s="278" t="s">
        <v>314</v>
      </c>
      <c r="S408" s="21"/>
      <c r="T408" s="227"/>
      <c r="AE408" s="21"/>
      <c r="AF408" s="21"/>
      <c r="AG408" s="21"/>
      <c r="AH408" s="21"/>
      <c r="AI408" s="21"/>
      <c r="AJ408" s="21"/>
      <c r="AN408" s="22"/>
      <c r="AO408" s="22"/>
      <c r="BF408" s="5"/>
      <c r="BG408" s="5"/>
    </row>
    <row r="409" spans="4:59" ht="13.9" customHeight="1" x14ac:dyDescent="0.2">
      <c r="D409" s="84"/>
      <c r="H409" s="84"/>
      <c r="M409" s="84"/>
      <c r="N409" s="84"/>
      <c r="O409" s="84"/>
      <c r="Q409" s="23"/>
      <c r="R409" s="238"/>
      <c r="S409" s="22"/>
      <c r="T409" s="227"/>
      <c r="Y409" s="228" t="s">
        <v>160</v>
      </c>
      <c r="Z409" s="228" t="s">
        <v>596</v>
      </c>
      <c r="AE409" s="21"/>
      <c r="AF409" s="21"/>
      <c r="AG409" s="21"/>
      <c r="AH409" s="21"/>
      <c r="AI409" s="21"/>
      <c r="AJ409" s="21"/>
      <c r="AN409" s="22"/>
      <c r="AO409" s="22"/>
      <c r="BF409" s="5"/>
      <c r="BG409" s="5"/>
    </row>
    <row r="410" spans="4:59" ht="13.9" customHeight="1" x14ac:dyDescent="0.2">
      <c r="D410" s="84"/>
      <c r="H410" s="84"/>
      <c r="M410" s="84"/>
      <c r="N410" s="84"/>
      <c r="O410" s="84"/>
      <c r="Q410" s="23"/>
      <c r="R410" s="238"/>
      <c r="S410" s="279" t="str">
        <f>B8</f>
        <v>Käsittelyssä tarvittavien työkoneiden ja muun työmaakaluston kuljetus alueelle sekä niiden kuljetus alueelta pois käsittelyn päättyessä</v>
      </c>
      <c r="T410" s="280"/>
      <c r="U410" s="281"/>
      <c r="V410" s="281"/>
      <c r="W410" s="281" t="s">
        <v>662</v>
      </c>
      <c r="X410" s="281" t="s">
        <v>612</v>
      </c>
      <c r="Y410" s="282">
        <f>SUM(Y411,Y414)</f>
        <v>0</v>
      </c>
      <c r="Z410" s="283" t="str">
        <f>IF(ISERROR(Y410/$Y$447),"--",Y410/$Y$447)</f>
        <v>--</v>
      </c>
      <c r="AE410" s="21"/>
      <c r="AF410" s="21"/>
      <c r="AG410" s="21"/>
      <c r="AH410" s="21"/>
      <c r="AI410" s="21"/>
      <c r="AJ410" s="21"/>
      <c r="AN410" s="22"/>
      <c r="AO410" s="22"/>
      <c r="BF410" s="5"/>
      <c r="BG410" s="5"/>
    </row>
    <row r="411" spans="4:59" ht="13.9" customHeight="1" x14ac:dyDescent="0.2">
      <c r="D411" s="84"/>
      <c r="H411" s="84"/>
      <c r="M411" s="84"/>
      <c r="N411" s="84"/>
      <c r="O411" s="84"/>
      <c r="Q411" s="23"/>
      <c r="R411" s="238"/>
      <c r="S411" s="207" t="s">
        <v>569</v>
      </c>
      <c r="T411" s="228"/>
      <c r="W411" s="228" t="s">
        <v>662</v>
      </c>
      <c r="X411" s="228" t="s">
        <v>316</v>
      </c>
      <c r="Y411" s="229">
        <f>SUM(Y412:Y413)</f>
        <v>0</v>
      </c>
      <c r="Z411" s="277" t="str">
        <f t="shared" ref="Z411:Z445" si="4">IF(ISERROR(Y411/$Y$447),"--",Y411/$Y$447)</f>
        <v>--</v>
      </c>
      <c r="AE411" s="21"/>
      <c r="AF411" s="21"/>
      <c r="AG411" s="21"/>
      <c r="AH411" s="21"/>
      <c r="AI411" s="21"/>
      <c r="AJ411" s="21"/>
      <c r="AN411" s="22"/>
      <c r="AO411" s="22"/>
      <c r="BF411" s="5"/>
      <c r="BG411" s="5"/>
    </row>
    <row r="412" spans="4:59" ht="13.9" customHeight="1" x14ac:dyDescent="0.2">
      <c r="D412" s="84"/>
      <c r="H412" s="84"/>
      <c r="M412" s="84"/>
      <c r="N412" s="84"/>
      <c r="O412" s="84"/>
      <c r="Q412" s="23"/>
      <c r="R412" s="238"/>
      <c r="S412" s="246" t="s">
        <v>40</v>
      </c>
      <c r="T412" s="228"/>
      <c r="W412" s="228" t="s">
        <v>40</v>
      </c>
      <c r="Y412" s="229">
        <f>SUM(AB11,AB16,AB21)</f>
        <v>0</v>
      </c>
      <c r="Z412" s="277" t="str">
        <f t="shared" si="4"/>
        <v>--</v>
      </c>
      <c r="AE412" s="21"/>
      <c r="AF412" s="21"/>
      <c r="AG412" s="21"/>
      <c r="AH412" s="21"/>
      <c r="AI412" s="21"/>
      <c r="AJ412" s="21"/>
      <c r="AN412" s="22"/>
      <c r="AO412" s="22"/>
      <c r="BF412" s="5"/>
      <c r="BG412" s="5"/>
    </row>
    <row r="413" spans="4:59" ht="13.9" customHeight="1" x14ac:dyDescent="0.2">
      <c r="D413" s="84"/>
      <c r="H413" s="84"/>
      <c r="M413" s="84"/>
      <c r="N413" s="84"/>
      <c r="O413" s="84"/>
      <c r="Q413" s="23"/>
      <c r="R413" s="238"/>
      <c r="S413" s="246" t="s">
        <v>577</v>
      </c>
      <c r="T413" s="228"/>
      <c r="W413" s="228" t="s">
        <v>40</v>
      </c>
      <c r="Y413" s="229">
        <f>SUM(AG21,AG16,AG11)</f>
        <v>0</v>
      </c>
      <c r="Z413" s="277" t="str">
        <f t="shared" si="4"/>
        <v>--</v>
      </c>
      <c r="AE413" s="21"/>
      <c r="AF413" s="21"/>
      <c r="AG413" s="21"/>
      <c r="AH413" s="21"/>
      <c r="AI413" s="21"/>
      <c r="AJ413" s="21"/>
      <c r="AN413" s="22"/>
      <c r="AO413" s="22"/>
      <c r="BF413" s="5"/>
      <c r="BG413" s="5"/>
    </row>
    <row r="414" spans="4:59" ht="13.9" customHeight="1" x14ac:dyDescent="0.2">
      <c r="D414" s="84"/>
      <c r="H414" s="84"/>
      <c r="M414" s="84"/>
      <c r="N414" s="84"/>
      <c r="O414" s="84"/>
      <c r="Q414" s="23"/>
      <c r="R414" s="238"/>
      <c r="S414" s="207" t="s">
        <v>570</v>
      </c>
      <c r="T414" s="228"/>
      <c r="W414" s="228" t="s">
        <v>662</v>
      </c>
      <c r="X414" s="228" t="s">
        <v>611</v>
      </c>
      <c r="Y414" s="229">
        <f>SUM(Y415:Y416)</f>
        <v>0</v>
      </c>
      <c r="Z414" s="277" t="str">
        <f t="shared" si="4"/>
        <v>--</v>
      </c>
      <c r="AE414" s="21"/>
      <c r="AF414" s="21"/>
      <c r="AG414" s="21"/>
      <c r="AH414" s="21"/>
      <c r="AI414" s="21"/>
      <c r="AJ414" s="21"/>
      <c r="AN414" s="22"/>
      <c r="AO414" s="22"/>
      <c r="BF414" s="5"/>
      <c r="BG414" s="5"/>
    </row>
    <row r="415" spans="4:59" ht="13.9" customHeight="1" x14ac:dyDescent="0.2">
      <c r="D415" s="84"/>
      <c r="H415" s="84"/>
      <c r="M415" s="84"/>
      <c r="N415" s="84"/>
      <c r="O415" s="84"/>
      <c r="Q415" s="23"/>
      <c r="R415" s="238"/>
      <c r="S415" s="246" t="s">
        <v>40</v>
      </c>
      <c r="T415" s="228"/>
      <c r="W415" s="228" t="s">
        <v>40</v>
      </c>
      <c r="Y415" s="229">
        <f>SUM(AB21,AB16,AB11)</f>
        <v>0</v>
      </c>
      <c r="Z415" s="277" t="str">
        <f t="shared" si="4"/>
        <v>--</v>
      </c>
      <c r="AE415" s="21"/>
      <c r="AF415" s="21"/>
      <c r="AG415" s="21"/>
      <c r="AH415" s="21"/>
      <c r="AI415" s="21"/>
      <c r="AJ415" s="21"/>
      <c r="AN415" s="22"/>
      <c r="AO415" s="22"/>
      <c r="BF415" s="5"/>
      <c r="BG415" s="5"/>
    </row>
    <row r="416" spans="4:59" ht="13.9" customHeight="1" x14ac:dyDescent="0.2">
      <c r="D416" s="84"/>
      <c r="H416" s="84"/>
      <c r="M416" s="84"/>
      <c r="N416" s="84"/>
      <c r="O416" s="84"/>
      <c r="Q416" s="23"/>
      <c r="R416" s="238"/>
      <c r="S416" s="246" t="s">
        <v>577</v>
      </c>
      <c r="T416" s="228"/>
      <c r="W416" s="228" t="s">
        <v>40</v>
      </c>
      <c r="Y416" s="229">
        <f>SUM(AG21,AG16,AG11)</f>
        <v>0</v>
      </c>
      <c r="Z416" s="277" t="str">
        <f t="shared" si="4"/>
        <v>--</v>
      </c>
      <c r="AE416" s="21"/>
      <c r="AF416" s="21"/>
      <c r="AG416" s="21"/>
      <c r="AH416" s="21"/>
      <c r="AI416" s="21"/>
      <c r="AJ416" s="21"/>
      <c r="AN416" s="22"/>
      <c r="AO416" s="22"/>
      <c r="BF416" s="5"/>
      <c r="BG416" s="5"/>
    </row>
    <row r="417" spans="4:59" ht="13.9" customHeight="1" x14ac:dyDescent="0.2">
      <c r="D417" s="84"/>
      <c r="H417" s="84"/>
      <c r="M417" s="84"/>
      <c r="N417" s="84"/>
      <c r="O417" s="84"/>
      <c r="Q417" s="23"/>
      <c r="R417" s="238"/>
      <c r="S417" s="279" t="str">
        <f>B28</f>
        <v>Käsittelyä varten tehtävät puuston, asfalttipintojen  tai rakenteiden poisto</v>
      </c>
      <c r="T417" s="280"/>
      <c r="U417" s="281"/>
      <c r="V417" s="281"/>
      <c r="W417" s="281" t="s">
        <v>663</v>
      </c>
      <c r="X417" s="281" t="s">
        <v>316</v>
      </c>
      <c r="Y417" s="282">
        <f>SUM(Y418,Y419,Y420)</f>
        <v>0</v>
      </c>
      <c r="Z417" s="283" t="str">
        <f t="shared" si="4"/>
        <v>--</v>
      </c>
      <c r="AE417" s="21"/>
      <c r="AF417" s="21"/>
      <c r="AG417" s="21"/>
      <c r="AH417" s="21"/>
      <c r="AI417" s="21"/>
      <c r="AJ417" s="21"/>
      <c r="AN417" s="22"/>
      <c r="AO417" s="22"/>
      <c r="BF417" s="5"/>
      <c r="BG417" s="5"/>
    </row>
    <row r="418" spans="4:59" ht="13.9" customHeight="1" x14ac:dyDescent="0.2">
      <c r="D418" s="84"/>
      <c r="H418" s="84"/>
      <c r="M418" s="84"/>
      <c r="N418" s="84"/>
      <c r="O418" s="84"/>
      <c r="Q418" s="23"/>
      <c r="R418" s="238"/>
      <c r="S418" s="207" t="s">
        <v>574</v>
      </c>
      <c r="T418" s="228"/>
      <c r="W418" s="228" t="s">
        <v>595</v>
      </c>
      <c r="X418" s="228" t="s">
        <v>316</v>
      </c>
      <c r="Y418" s="229">
        <f>SUM(R31)</f>
        <v>0</v>
      </c>
      <c r="Z418" s="277" t="str">
        <f t="shared" si="4"/>
        <v>--</v>
      </c>
      <c r="AE418" s="21"/>
      <c r="AF418" s="21"/>
      <c r="AG418" s="21"/>
      <c r="AH418" s="21"/>
      <c r="AI418" s="21"/>
      <c r="AJ418" s="21"/>
      <c r="AN418" s="22"/>
      <c r="AO418" s="22"/>
      <c r="BF418" s="5"/>
      <c r="BG418" s="5"/>
    </row>
    <row r="419" spans="4:59" ht="13.9" customHeight="1" x14ac:dyDescent="0.2">
      <c r="D419" s="84"/>
      <c r="H419" s="84"/>
      <c r="M419" s="84"/>
      <c r="N419" s="84"/>
      <c r="O419" s="84"/>
      <c r="Q419" s="23"/>
      <c r="R419" s="238"/>
      <c r="S419" s="207" t="s">
        <v>571</v>
      </c>
      <c r="T419" s="228"/>
      <c r="W419" s="228" t="s">
        <v>595</v>
      </c>
      <c r="X419" s="228" t="s">
        <v>575</v>
      </c>
      <c r="Y419" s="229">
        <f>SUM(R32)</f>
        <v>0</v>
      </c>
      <c r="Z419" s="277" t="str">
        <f t="shared" si="4"/>
        <v>--</v>
      </c>
      <c r="AE419" s="21"/>
      <c r="AF419" s="21"/>
      <c r="AG419" s="21"/>
      <c r="AH419" s="21"/>
      <c r="AI419" s="21"/>
      <c r="AJ419" s="21"/>
      <c r="AN419" s="22"/>
      <c r="AO419" s="22"/>
      <c r="BF419" s="5"/>
      <c r="BG419" s="5"/>
    </row>
    <row r="420" spans="4:59" ht="13.9" customHeight="1" x14ac:dyDescent="0.2">
      <c r="D420" s="84"/>
      <c r="H420" s="84"/>
      <c r="M420" s="84"/>
      <c r="N420" s="84"/>
      <c r="O420" s="84"/>
      <c r="Q420" s="23"/>
      <c r="R420" s="238"/>
      <c r="S420" s="207" t="s">
        <v>55</v>
      </c>
      <c r="T420" s="228"/>
      <c r="W420" s="228" t="s">
        <v>595</v>
      </c>
      <c r="X420" s="228" t="s">
        <v>316</v>
      </c>
      <c r="Y420" s="229">
        <f>SUM(R34)</f>
        <v>0</v>
      </c>
      <c r="Z420" s="277" t="str">
        <f t="shared" si="4"/>
        <v>--</v>
      </c>
      <c r="AE420" s="21"/>
      <c r="AF420" s="21"/>
      <c r="AG420" s="21"/>
      <c r="AH420" s="21"/>
      <c r="AI420" s="21"/>
      <c r="AJ420" s="21"/>
      <c r="AN420" s="22"/>
      <c r="AO420" s="22"/>
      <c r="BF420" s="5"/>
      <c r="BG420" s="5"/>
    </row>
    <row r="421" spans="4:59" ht="13.9" customHeight="1" x14ac:dyDescent="0.2">
      <c r="D421" s="84"/>
      <c r="H421" s="84"/>
      <c r="M421" s="84"/>
      <c r="N421" s="84"/>
      <c r="O421" s="84"/>
      <c r="Q421" s="23"/>
      <c r="R421" s="238"/>
      <c r="S421" s="279" t="str">
        <f>B37</f>
        <v>Asennus- ja valmisteluvaiheessa tarvittavat työkoneet</v>
      </c>
      <c r="T421" s="280"/>
      <c r="U421" s="281"/>
      <c r="V421" s="281"/>
      <c r="W421" s="281" t="s">
        <v>595</v>
      </c>
      <c r="X421" s="281" t="s">
        <v>575</v>
      </c>
      <c r="Y421" s="282">
        <f>SUM(R40,R44,R48)</f>
        <v>0</v>
      </c>
      <c r="Z421" s="283" t="str">
        <f t="shared" si="4"/>
        <v>--</v>
      </c>
      <c r="AE421" s="21"/>
      <c r="AF421" s="21"/>
      <c r="AG421" s="21"/>
      <c r="AH421" s="21"/>
      <c r="AI421" s="21"/>
      <c r="AJ421" s="21"/>
      <c r="AN421" s="22"/>
      <c r="AO421" s="22"/>
      <c r="BF421" s="5"/>
      <c r="BG421" s="5"/>
    </row>
    <row r="422" spans="4:59" ht="13.9" customHeight="1" x14ac:dyDescent="0.2">
      <c r="D422" s="84"/>
      <c r="H422" s="84"/>
      <c r="M422" s="84"/>
      <c r="N422" s="84"/>
      <c r="O422" s="84"/>
      <c r="Q422" s="23"/>
      <c r="R422" s="238"/>
      <c r="S422" s="279" t="str">
        <f>B52</f>
        <v>Mahdollisten käsittelyssä poistettavien maa-ainesten ja purkumateriaalien kuljetukset pois alueelta</v>
      </c>
      <c r="T422" s="280"/>
      <c r="U422" s="281"/>
      <c r="V422" s="281"/>
      <c r="W422" s="281" t="s">
        <v>662</v>
      </c>
      <c r="X422" s="281" t="s">
        <v>602</v>
      </c>
      <c r="Y422" s="282">
        <f>SUM(Y423:Y424)</f>
        <v>0</v>
      </c>
      <c r="Z422" s="283" t="str">
        <f t="shared" si="4"/>
        <v>--</v>
      </c>
      <c r="AE422" s="21"/>
      <c r="AF422" s="21"/>
      <c r="AG422" s="21"/>
      <c r="AH422" s="21"/>
      <c r="AI422" s="21"/>
      <c r="AJ422" s="21"/>
      <c r="AN422" s="22"/>
      <c r="AO422" s="22"/>
      <c r="BF422" s="5"/>
      <c r="BG422" s="5"/>
    </row>
    <row r="423" spans="4:59" ht="13.9" customHeight="1" x14ac:dyDescent="0.2">
      <c r="D423" s="84"/>
      <c r="H423" s="84"/>
      <c r="M423" s="84"/>
      <c r="N423" s="84"/>
      <c r="O423" s="84"/>
      <c r="Q423" s="23"/>
      <c r="R423" s="238"/>
      <c r="S423" s="207" t="s">
        <v>40</v>
      </c>
      <c r="T423" s="227"/>
      <c r="W423" s="228" t="s">
        <v>40</v>
      </c>
      <c r="X423" s="228" t="s">
        <v>602</v>
      </c>
      <c r="Y423" s="229">
        <f>SUM(AB56,AB61,AB66,AB71,AB76)</f>
        <v>0</v>
      </c>
      <c r="Z423" s="277" t="str">
        <f t="shared" si="4"/>
        <v>--</v>
      </c>
      <c r="AE423" s="21"/>
      <c r="AF423" s="21"/>
      <c r="AG423" s="21"/>
      <c r="AH423" s="21"/>
      <c r="AI423" s="21"/>
      <c r="AJ423" s="21"/>
      <c r="AN423" s="22"/>
      <c r="AO423" s="22"/>
      <c r="BF423" s="5"/>
      <c r="BG423" s="5"/>
    </row>
    <row r="424" spans="4:59" ht="13.9" customHeight="1" x14ac:dyDescent="0.2">
      <c r="D424" s="84"/>
      <c r="H424" s="84"/>
      <c r="M424" s="84"/>
      <c r="N424" s="84"/>
      <c r="O424" s="84"/>
      <c r="Q424" s="23"/>
      <c r="R424" s="238"/>
      <c r="S424" s="207" t="s">
        <v>577</v>
      </c>
      <c r="T424" s="227"/>
      <c r="W424" s="228" t="s">
        <v>40</v>
      </c>
      <c r="X424" s="228" t="s">
        <v>602</v>
      </c>
      <c r="Y424" s="229">
        <f>SUM(AG56,AG61,AG66,AG71,AG76)</f>
        <v>0</v>
      </c>
      <c r="Z424" s="277" t="str">
        <f t="shared" si="4"/>
        <v>--</v>
      </c>
      <c r="AE424" s="21"/>
      <c r="AF424" s="21"/>
      <c r="AG424" s="21"/>
      <c r="AH424" s="21"/>
      <c r="AI424" s="21"/>
      <c r="AJ424" s="21"/>
      <c r="AN424" s="22"/>
      <c r="AO424" s="22"/>
      <c r="BF424" s="5"/>
      <c r="BG424" s="5"/>
    </row>
    <row r="425" spans="4:59" ht="13.9" customHeight="1" x14ac:dyDescent="0.2">
      <c r="D425" s="84"/>
      <c r="H425" s="84"/>
      <c r="M425" s="84"/>
      <c r="N425" s="84"/>
      <c r="O425" s="84"/>
      <c r="Q425" s="23"/>
      <c r="R425" s="238"/>
      <c r="S425" s="279" t="str">
        <f>B83</f>
        <v>Mahdollisten korvaavien maa-ainesten määrä</v>
      </c>
      <c r="T425" s="280"/>
      <c r="U425" s="281"/>
      <c r="V425" s="281"/>
      <c r="W425" s="281" t="s">
        <v>594</v>
      </c>
      <c r="X425" s="281" t="s">
        <v>602</v>
      </c>
      <c r="Y425" s="282">
        <f>SUM(R85:R89)</f>
        <v>0</v>
      </c>
      <c r="Z425" s="283" t="str">
        <f t="shared" si="4"/>
        <v>--</v>
      </c>
      <c r="AE425" s="21"/>
      <c r="AF425" s="21"/>
      <c r="AG425" s="21"/>
      <c r="AH425" s="21"/>
      <c r="AI425" s="21"/>
      <c r="AJ425" s="21"/>
      <c r="AN425" s="22"/>
      <c r="AO425" s="22"/>
      <c r="BF425" s="5"/>
      <c r="BG425" s="5"/>
    </row>
    <row r="426" spans="4:59" ht="13.9" customHeight="1" x14ac:dyDescent="0.2">
      <c r="D426" s="84"/>
      <c r="H426" s="84"/>
      <c r="M426" s="84"/>
      <c r="N426" s="84"/>
      <c r="O426" s="84"/>
      <c r="Q426" s="23"/>
      <c r="R426" s="238"/>
      <c r="S426" s="279" t="str">
        <f>B93</f>
        <v>Mahdollisten korvaavien maa-ainesten kuljetukset alueelle</v>
      </c>
      <c r="T426" s="280"/>
      <c r="U426" s="281"/>
      <c r="V426" s="281"/>
      <c r="W426" s="281" t="s">
        <v>662</v>
      </c>
      <c r="X426" s="281" t="s">
        <v>602</v>
      </c>
      <c r="Y426" s="282">
        <f>SUM(Y427,Y428)</f>
        <v>0</v>
      </c>
      <c r="Z426" s="283" t="str">
        <f t="shared" si="4"/>
        <v>--</v>
      </c>
      <c r="AE426" s="21"/>
      <c r="AF426" s="21"/>
      <c r="AG426" s="21"/>
      <c r="AH426" s="21"/>
      <c r="AI426" s="21"/>
      <c r="AJ426" s="21"/>
      <c r="AN426" s="22"/>
      <c r="AO426" s="22"/>
      <c r="BF426" s="5"/>
      <c r="BG426" s="5"/>
    </row>
    <row r="427" spans="4:59" ht="13.9" customHeight="1" x14ac:dyDescent="0.2">
      <c r="D427" s="84"/>
      <c r="H427" s="84"/>
      <c r="M427" s="84"/>
      <c r="N427" s="84"/>
      <c r="O427" s="84"/>
      <c r="Q427" s="23"/>
      <c r="R427" s="238"/>
      <c r="S427" s="207" t="s">
        <v>40</v>
      </c>
      <c r="T427" s="228"/>
      <c r="W427" s="228" t="s">
        <v>40</v>
      </c>
      <c r="X427" s="228" t="s">
        <v>602</v>
      </c>
      <c r="Y427" s="229">
        <f>SUM(AB96,AB101,AB106,AB111,AB116)</f>
        <v>0</v>
      </c>
      <c r="Z427" s="277" t="str">
        <f t="shared" si="4"/>
        <v>--</v>
      </c>
      <c r="AE427" s="21"/>
      <c r="AF427" s="21"/>
      <c r="AG427" s="21"/>
      <c r="AH427" s="21"/>
      <c r="AI427" s="21"/>
      <c r="AJ427" s="21"/>
      <c r="AN427" s="22"/>
      <c r="AO427" s="22"/>
      <c r="BF427" s="5"/>
      <c r="BG427" s="5"/>
    </row>
    <row r="428" spans="4:59" ht="13.9" customHeight="1" x14ac:dyDescent="0.2">
      <c r="D428" s="84"/>
      <c r="H428" s="84"/>
      <c r="M428" s="84"/>
      <c r="N428" s="84"/>
      <c r="O428" s="84"/>
      <c r="Q428" s="23"/>
      <c r="R428" s="238"/>
      <c r="S428" s="207" t="s">
        <v>577</v>
      </c>
      <c r="T428" s="228"/>
      <c r="W428" s="228" t="s">
        <v>40</v>
      </c>
      <c r="X428" s="228" t="s">
        <v>602</v>
      </c>
      <c r="Y428" s="229">
        <f>SUM(AG96,AG101,AG106,AG111,AG116)</f>
        <v>0</v>
      </c>
      <c r="Z428" s="277" t="str">
        <f t="shared" si="4"/>
        <v>--</v>
      </c>
      <c r="AE428" s="21"/>
      <c r="AF428" s="21"/>
      <c r="AG428" s="21"/>
      <c r="AH428" s="21"/>
      <c r="AI428" s="21"/>
      <c r="AJ428" s="21"/>
      <c r="AN428" s="22"/>
      <c r="AO428" s="22"/>
      <c r="BF428" s="5"/>
      <c r="BG428" s="5"/>
    </row>
    <row r="429" spans="4:59" ht="13.9" customHeight="1" x14ac:dyDescent="0.2">
      <c r="D429" s="84"/>
      <c r="H429" s="84"/>
      <c r="M429" s="84"/>
      <c r="N429" s="84"/>
      <c r="O429" s="84"/>
      <c r="Q429" s="23"/>
      <c r="R429" s="238"/>
      <c r="S429" s="279" t="str">
        <f>B123</f>
        <v>Mahdolliset täytöt ja muu korvaavien maa-ainesten käyttö alueella</v>
      </c>
      <c r="T429" s="280"/>
      <c r="U429" s="281"/>
      <c r="V429" s="281"/>
      <c r="W429" s="281" t="s">
        <v>595</v>
      </c>
      <c r="X429" s="281" t="s">
        <v>602</v>
      </c>
      <c r="Y429" s="282">
        <f>SUM(R125)</f>
        <v>0</v>
      </c>
      <c r="Z429" s="283" t="str">
        <f t="shared" si="4"/>
        <v>--</v>
      </c>
      <c r="AE429" s="21"/>
      <c r="AF429" s="21"/>
      <c r="AG429" s="21"/>
      <c r="AH429" s="21"/>
      <c r="AI429" s="21"/>
      <c r="AJ429" s="21"/>
      <c r="AN429" s="22"/>
      <c r="AO429" s="22"/>
      <c r="BF429" s="5"/>
      <c r="BG429" s="5"/>
    </row>
    <row r="430" spans="4:59" ht="13.9" customHeight="1" x14ac:dyDescent="0.2">
      <c r="D430" s="84"/>
      <c r="H430" s="84"/>
      <c r="M430" s="84"/>
      <c r="N430" s="84"/>
      <c r="O430" s="84"/>
      <c r="Q430" s="23"/>
      <c r="R430" s="238"/>
      <c r="S430" s="279" t="str">
        <f>B130</f>
        <v>Käytettävät kertakäyttöiset tuotteet tai materiaalit</v>
      </c>
      <c r="T430" s="280"/>
      <c r="U430" s="281"/>
      <c r="V430" s="281"/>
      <c r="W430" s="281" t="s">
        <v>594</v>
      </c>
      <c r="X430" s="281" t="s">
        <v>602</v>
      </c>
      <c r="Y430" s="282">
        <f>SUM(R134,R137,R140,R143,R146)</f>
        <v>0</v>
      </c>
      <c r="Z430" s="283" t="str">
        <f t="shared" si="4"/>
        <v>--</v>
      </c>
      <c r="AE430" s="21"/>
      <c r="AF430" s="21"/>
      <c r="AG430" s="21"/>
      <c r="AH430" s="21"/>
      <c r="AI430" s="21"/>
      <c r="AJ430" s="21"/>
      <c r="AN430" s="22"/>
      <c r="AO430" s="22"/>
      <c r="BF430" s="5"/>
      <c r="BG430" s="5"/>
    </row>
    <row r="431" spans="4:59" ht="13.9" customHeight="1" x14ac:dyDescent="0.2">
      <c r="D431" s="84"/>
      <c r="H431" s="84"/>
      <c r="M431" s="84"/>
      <c r="N431" s="84"/>
      <c r="O431" s="84"/>
      <c r="Q431" s="23"/>
      <c r="R431" s="238"/>
      <c r="S431" s="279" t="str">
        <f>B148</f>
        <v>Käsittelyssä käytettävien kemikaalien, tuotteiden ja materiaalien kuljetukset alueelle</v>
      </c>
      <c r="T431" s="280"/>
      <c r="U431" s="281"/>
      <c r="V431" s="281"/>
      <c r="W431" s="281" t="s">
        <v>40</v>
      </c>
      <c r="X431" s="281" t="s">
        <v>602</v>
      </c>
      <c r="Y431" s="282">
        <f>SUM(R154,R162,R170,R178,R186)</f>
        <v>0</v>
      </c>
      <c r="Z431" s="283" t="str">
        <f t="shared" si="4"/>
        <v>--</v>
      </c>
      <c r="AE431" s="21"/>
      <c r="AF431" s="21"/>
      <c r="AG431" s="21"/>
      <c r="AH431" s="21"/>
      <c r="AI431" s="21"/>
      <c r="AJ431" s="21"/>
      <c r="AN431" s="22"/>
      <c r="AO431" s="22"/>
      <c r="BF431" s="5"/>
      <c r="BG431" s="5"/>
    </row>
    <row r="432" spans="4:59" ht="13.9" customHeight="1" x14ac:dyDescent="0.2">
      <c r="D432" s="84"/>
      <c r="H432" s="84"/>
      <c r="M432" s="84"/>
      <c r="N432" s="84"/>
      <c r="O432" s="84"/>
      <c r="Q432" s="23"/>
      <c r="R432" s="238"/>
      <c r="S432" s="279" t="str">
        <f>B194</f>
        <v>Maaperän lämmittäminen</v>
      </c>
      <c r="T432" s="280"/>
      <c r="U432" s="281"/>
      <c r="V432" s="281"/>
      <c r="W432" s="281" t="s">
        <v>683</v>
      </c>
      <c r="X432" s="281" t="s">
        <v>602</v>
      </c>
      <c r="Y432" s="282">
        <f>SUM(R198)</f>
        <v>0</v>
      </c>
      <c r="Z432" s="283" t="str">
        <f t="shared" si="4"/>
        <v>--</v>
      </c>
      <c r="AE432" s="21"/>
      <c r="AF432" s="21"/>
      <c r="AG432" s="21"/>
      <c r="AH432" s="21"/>
      <c r="AI432" s="21"/>
      <c r="AJ432" s="21"/>
      <c r="AN432" s="22"/>
      <c r="AO432" s="22"/>
      <c r="BF432" s="5"/>
      <c r="BG432" s="5"/>
    </row>
    <row r="433" spans="4:59" ht="13.9" customHeight="1" x14ac:dyDescent="0.2">
      <c r="D433" s="84"/>
      <c r="H433" s="84"/>
      <c r="M433" s="84"/>
      <c r="N433" s="84"/>
      <c r="O433" s="84"/>
      <c r="Q433" s="23"/>
      <c r="R433" s="238"/>
      <c r="S433" s="279" t="str">
        <f>B206</f>
        <v>Mahdollinen poistokaasujen imu</v>
      </c>
      <c r="T433" s="280"/>
      <c r="U433" s="281"/>
      <c r="V433" s="281"/>
      <c r="W433" s="281" t="s">
        <v>683</v>
      </c>
      <c r="X433" s="281" t="s">
        <v>602</v>
      </c>
      <c r="Y433" s="282">
        <f>SUM(R210)</f>
        <v>0</v>
      </c>
      <c r="Z433" s="283" t="str">
        <f t="shared" si="4"/>
        <v>--</v>
      </c>
      <c r="AE433" s="21"/>
      <c r="AF433" s="21"/>
      <c r="AG433" s="21"/>
      <c r="AH433" s="21"/>
      <c r="AI433" s="21"/>
      <c r="AJ433" s="21"/>
      <c r="AN433" s="22"/>
      <c r="AO433" s="22"/>
      <c r="BF433" s="5"/>
      <c r="BG433" s="5"/>
    </row>
    <row r="434" spans="4:59" ht="13.9" customHeight="1" x14ac:dyDescent="0.2">
      <c r="D434" s="84"/>
      <c r="H434" s="84"/>
      <c r="M434" s="84"/>
      <c r="N434" s="84"/>
      <c r="O434" s="84"/>
      <c r="Q434" s="23"/>
      <c r="R434" s="238"/>
      <c r="S434" s="279" t="str">
        <f>B218</f>
        <v>Poistokaasujen käsittelyn mahdollinen energiankäyttö</v>
      </c>
      <c r="T434" s="280"/>
      <c r="U434" s="281"/>
      <c r="V434" s="281"/>
      <c r="W434" s="281" t="s">
        <v>683</v>
      </c>
      <c r="X434" s="281" t="s">
        <v>602</v>
      </c>
      <c r="Y434" s="282">
        <f>SUM(R223)</f>
        <v>0</v>
      </c>
      <c r="Z434" s="283" t="str">
        <f t="shared" si="4"/>
        <v>--</v>
      </c>
      <c r="AE434" s="21"/>
      <c r="AF434" s="21"/>
      <c r="AG434" s="21"/>
      <c r="AH434" s="21"/>
      <c r="AI434" s="21"/>
      <c r="AJ434" s="21"/>
      <c r="AN434" s="22"/>
      <c r="AO434" s="22"/>
      <c r="BF434" s="5"/>
      <c r="BG434" s="5"/>
    </row>
    <row r="435" spans="4:59" ht="13.9" customHeight="1" x14ac:dyDescent="0.2">
      <c r="D435" s="84"/>
      <c r="H435" s="84"/>
      <c r="M435" s="84"/>
      <c r="N435" s="84"/>
      <c r="O435" s="84"/>
      <c r="Q435" s="23"/>
      <c r="R435" s="238"/>
      <c r="S435" s="279" t="s">
        <v>42</v>
      </c>
      <c r="T435" s="281"/>
      <c r="U435" s="281"/>
      <c r="V435" s="281"/>
      <c r="W435" s="281" t="s">
        <v>664</v>
      </c>
      <c r="X435" s="281"/>
      <c r="Y435" s="282">
        <f>SUM(Y436:Y438)</f>
        <v>0</v>
      </c>
      <c r="Z435" s="283" t="str">
        <f t="shared" si="4"/>
        <v>--</v>
      </c>
      <c r="AE435" s="21"/>
      <c r="AF435" s="21"/>
      <c r="AG435" s="21"/>
      <c r="AH435" s="21"/>
      <c r="AI435" s="21"/>
      <c r="AJ435" s="21"/>
      <c r="AN435" s="22"/>
      <c r="AO435" s="22"/>
      <c r="BF435" s="5"/>
      <c r="BG435" s="5"/>
    </row>
    <row r="436" spans="4:59" ht="13.9" customHeight="1" x14ac:dyDescent="0.2">
      <c r="D436" s="84"/>
      <c r="H436" s="84"/>
      <c r="M436" s="84"/>
      <c r="N436" s="84"/>
      <c r="O436" s="84"/>
      <c r="Q436" s="23"/>
      <c r="R436" s="238"/>
      <c r="S436" s="207" t="s">
        <v>60</v>
      </c>
      <c r="T436" s="228"/>
      <c r="W436" s="228" t="s">
        <v>601</v>
      </c>
      <c r="X436" s="228" t="s">
        <v>316</v>
      </c>
      <c r="Y436" s="229">
        <f>SUM(R233)</f>
        <v>0</v>
      </c>
      <c r="Z436" s="277" t="str">
        <f t="shared" si="4"/>
        <v>--</v>
      </c>
      <c r="AE436" s="21"/>
      <c r="AF436" s="21"/>
      <c r="AG436" s="21"/>
      <c r="AH436" s="21"/>
      <c r="AI436" s="21"/>
      <c r="AJ436" s="21"/>
      <c r="AN436" s="22"/>
      <c r="AO436" s="22"/>
      <c r="BF436" s="5"/>
      <c r="BG436" s="5"/>
    </row>
    <row r="437" spans="4:59" ht="13.9" customHeight="1" x14ac:dyDescent="0.2">
      <c r="D437" s="84"/>
      <c r="H437" s="84"/>
      <c r="M437" s="84"/>
      <c r="N437" s="84"/>
      <c r="O437" s="84"/>
      <c r="Q437" s="23"/>
      <c r="R437" s="238"/>
      <c r="S437" s="207" t="s">
        <v>580</v>
      </c>
      <c r="T437" s="228"/>
      <c r="W437" s="228" t="s">
        <v>601</v>
      </c>
      <c r="X437" s="228" t="s">
        <v>602</v>
      </c>
      <c r="Y437" s="229">
        <f>SUM(R235)</f>
        <v>0</v>
      </c>
      <c r="Z437" s="277" t="str">
        <f t="shared" si="4"/>
        <v>--</v>
      </c>
      <c r="AE437" s="21"/>
      <c r="AF437" s="21"/>
      <c r="AG437" s="21"/>
      <c r="AH437" s="21"/>
      <c r="AI437" s="21"/>
      <c r="AJ437" s="21"/>
      <c r="AN437" s="22"/>
      <c r="AO437" s="22"/>
      <c r="BF437" s="5"/>
      <c r="BG437" s="5"/>
    </row>
    <row r="438" spans="4:59" ht="13.9" customHeight="1" x14ac:dyDescent="0.2">
      <c r="D438" s="84"/>
      <c r="H438" s="84"/>
      <c r="M438" s="84"/>
      <c r="N438" s="84"/>
      <c r="O438" s="84"/>
      <c r="Q438" s="23"/>
      <c r="R438" s="238"/>
      <c r="S438" s="207" t="s">
        <v>581</v>
      </c>
      <c r="T438" s="228"/>
      <c r="W438" s="228" t="s">
        <v>601</v>
      </c>
      <c r="X438" s="228" t="s">
        <v>603</v>
      </c>
      <c r="Y438" s="229">
        <f>SUM(R322)</f>
        <v>0</v>
      </c>
      <c r="Z438" s="277" t="str">
        <f t="shared" si="4"/>
        <v>--</v>
      </c>
      <c r="AE438" s="21"/>
      <c r="AF438" s="21"/>
      <c r="AG438" s="21"/>
      <c r="AH438" s="21"/>
      <c r="AI438" s="21"/>
      <c r="AJ438" s="21"/>
      <c r="AN438" s="22"/>
      <c r="AO438" s="22"/>
      <c r="BF438" s="5"/>
      <c r="BG438" s="5"/>
    </row>
    <row r="439" spans="4:59" ht="13.9" customHeight="1" x14ac:dyDescent="0.2">
      <c r="D439" s="84"/>
      <c r="H439" s="84"/>
      <c r="M439" s="84"/>
      <c r="N439" s="84"/>
      <c r="O439" s="84"/>
      <c r="Q439" s="23"/>
      <c r="R439" s="238"/>
      <c r="S439" s="284" t="str">
        <f>B243</f>
        <v>Rakenteiden purkaminen</v>
      </c>
      <c r="T439" s="281"/>
      <c r="U439" s="281"/>
      <c r="V439" s="281"/>
      <c r="W439" s="281" t="s">
        <v>595</v>
      </c>
      <c r="X439" s="281" t="s">
        <v>350</v>
      </c>
      <c r="Y439" s="282">
        <f>SUM(R246,R250,R254)</f>
        <v>0</v>
      </c>
      <c r="Z439" s="283" t="str">
        <f t="shared" si="4"/>
        <v>--</v>
      </c>
      <c r="AE439" s="21"/>
      <c r="AF439" s="21"/>
      <c r="AG439" s="21"/>
      <c r="AH439" s="21"/>
      <c r="AI439" s="21"/>
      <c r="AJ439" s="21"/>
      <c r="AN439" s="22"/>
      <c r="AO439" s="22"/>
      <c r="BF439" s="5"/>
      <c r="BG439" s="5"/>
    </row>
    <row r="440" spans="4:59" ht="13.9" customHeight="1" x14ac:dyDescent="0.2">
      <c r="D440" s="84"/>
      <c r="H440" s="84"/>
      <c r="M440" s="84"/>
      <c r="N440" s="84"/>
      <c r="O440" s="84"/>
      <c r="Q440" s="23"/>
      <c r="R440" s="238"/>
      <c r="S440" s="284" t="str">
        <f>B258</f>
        <v>Poistettavien rakenteiden ja puhdistukseen päättämiseen liittyvien materiaalien kuljetukset</v>
      </c>
      <c r="T440" s="281"/>
      <c r="U440" s="281"/>
      <c r="V440" s="281"/>
      <c r="W440" s="281" t="s">
        <v>662</v>
      </c>
      <c r="X440" s="281" t="s">
        <v>350</v>
      </c>
      <c r="Y440" s="282">
        <f>SUM(Y441:Y442)</f>
        <v>0</v>
      </c>
      <c r="Z440" s="283" t="str">
        <f t="shared" si="4"/>
        <v>--</v>
      </c>
      <c r="AE440" s="21"/>
      <c r="AF440" s="21"/>
      <c r="AG440" s="21"/>
      <c r="AH440" s="21"/>
      <c r="AI440" s="21"/>
      <c r="AJ440" s="21"/>
      <c r="AN440" s="22"/>
      <c r="AO440" s="22"/>
      <c r="BF440" s="5"/>
      <c r="BG440" s="5"/>
    </row>
    <row r="441" spans="4:59" ht="13.9" customHeight="1" x14ac:dyDescent="0.2">
      <c r="D441" s="84"/>
      <c r="H441" s="84"/>
      <c r="M441" s="84"/>
      <c r="N441" s="84"/>
      <c r="O441" s="84"/>
      <c r="Q441" s="23"/>
      <c r="R441" s="238"/>
      <c r="S441" s="246" t="s">
        <v>40</v>
      </c>
      <c r="T441" s="228"/>
      <c r="W441" s="228" t="s">
        <v>40</v>
      </c>
      <c r="X441" s="228" t="s">
        <v>350</v>
      </c>
      <c r="Y441" s="229">
        <f>SUM(AB261,AB266,AB271,AB276,AB281)</f>
        <v>0</v>
      </c>
      <c r="Z441" s="277" t="str">
        <f t="shared" si="4"/>
        <v>--</v>
      </c>
      <c r="AE441" s="21"/>
      <c r="AF441" s="21"/>
      <c r="AG441" s="21"/>
      <c r="AH441" s="21"/>
      <c r="AI441" s="21"/>
      <c r="AJ441" s="21"/>
      <c r="AN441" s="22"/>
      <c r="AO441" s="22"/>
      <c r="BF441" s="5"/>
      <c r="BG441" s="5"/>
    </row>
    <row r="442" spans="4:59" ht="13.9" customHeight="1" x14ac:dyDescent="0.2">
      <c r="D442" s="84"/>
      <c r="H442" s="84"/>
      <c r="M442" s="84"/>
      <c r="N442" s="84"/>
      <c r="O442" s="84"/>
      <c r="Q442" s="23"/>
      <c r="R442" s="238"/>
      <c r="S442" s="246" t="s">
        <v>577</v>
      </c>
      <c r="T442" s="228"/>
      <c r="W442" s="228" t="s">
        <v>40</v>
      </c>
      <c r="X442" s="228" t="s">
        <v>350</v>
      </c>
      <c r="Y442" s="229">
        <f>SUM(AG261,AG266,AG271,AG276,AG281)</f>
        <v>0</v>
      </c>
      <c r="Z442" s="277" t="str">
        <f t="shared" si="4"/>
        <v>--</v>
      </c>
      <c r="AE442" s="21"/>
      <c r="AF442" s="21"/>
      <c r="AG442" s="21"/>
      <c r="AH442" s="21"/>
      <c r="AI442" s="21"/>
      <c r="AJ442" s="21"/>
      <c r="AN442" s="22"/>
      <c r="AO442" s="22"/>
      <c r="BF442" s="5"/>
      <c r="BG442" s="5"/>
    </row>
    <row r="443" spans="4:59" ht="13.9" customHeight="1" x14ac:dyDescent="0.2">
      <c r="D443" s="84"/>
      <c r="H443" s="84"/>
      <c r="M443" s="84"/>
      <c r="N443" s="84"/>
      <c r="O443" s="84"/>
      <c r="Q443" s="23"/>
      <c r="R443" s="238"/>
      <c r="S443" s="284" t="str">
        <f>B288</f>
        <v>Jätteiden loppusijoitus</v>
      </c>
      <c r="T443" s="281"/>
      <c r="U443" s="281"/>
      <c r="V443" s="281"/>
      <c r="W443" s="281" t="s">
        <v>688</v>
      </c>
      <c r="X443" s="281" t="s">
        <v>350</v>
      </c>
      <c r="Y443" s="282">
        <f>SUM(Y444:Y445)</f>
        <v>0</v>
      </c>
      <c r="Z443" s="283" t="str">
        <f t="shared" si="4"/>
        <v>--</v>
      </c>
      <c r="AE443" s="21"/>
      <c r="AF443" s="21"/>
      <c r="AG443" s="21"/>
      <c r="AH443" s="21"/>
      <c r="AI443" s="21"/>
      <c r="AJ443" s="21"/>
      <c r="AN443" s="22"/>
      <c r="AO443" s="22"/>
      <c r="BF443" s="5"/>
      <c r="BG443" s="5"/>
    </row>
    <row r="444" spans="4:59" ht="13.9" customHeight="1" x14ac:dyDescent="0.2">
      <c r="D444" s="84"/>
      <c r="H444" s="84"/>
      <c r="M444" s="84"/>
      <c r="N444" s="84"/>
      <c r="O444" s="84"/>
      <c r="Q444" s="23"/>
      <c r="R444" s="238"/>
      <c r="S444" s="246" t="str">
        <f>B290</f>
        <v>Poistettujen kertakäyttöisten rakenteiden ja materiaalien jatkokäsittely (pl. maa-ainekset)</v>
      </c>
      <c r="T444" s="228"/>
      <c r="W444" s="228" t="s">
        <v>600</v>
      </c>
      <c r="X444" s="228" t="s">
        <v>350</v>
      </c>
      <c r="Y444" s="229">
        <f>SUM(R292,R295,R298,R301,R304,R307)</f>
        <v>0</v>
      </c>
      <c r="Z444" s="277" t="str">
        <f t="shared" si="4"/>
        <v>--</v>
      </c>
      <c r="AE444" s="21"/>
      <c r="AF444" s="21"/>
      <c r="AG444" s="21"/>
      <c r="AH444" s="21"/>
      <c r="AI444" s="21"/>
      <c r="AJ444" s="21"/>
      <c r="AN444" s="22"/>
      <c r="AO444" s="22"/>
      <c r="BF444" s="5"/>
      <c r="BG444" s="5"/>
    </row>
    <row r="445" spans="4:59" ht="13.9" customHeight="1" x14ac:dyDescent="0.2">
      <c r="D445" s="84"/>
      <c r="H445" s="84"/>
      <c r="M445" s="84"/>
      <c r="N445" s="84"/>
      <c r="O445" s="84"/>
      <c r="Q445" s="23"/>
      <c r="R445" s="238"/>
      <c r="S445" s="246" t="str">
        <f>B311</f>
        <v>Poistetun maan jatkokäsittely vastaanottopaikassa</v>
      </c>
      <c r="T445" s="228"/>
      <c r="W445" s="228" t="s">
        <v>600</v>
      </c>
      <c r="X445" s="228" t="s">
        <v>350</v>
      </c>
      <c r="Y445" s="229">
        <f>SUM(R313,R315)</f>
        <v>0</v>
      </c>
      <c r="Z445" s="277" t="str">
        <f t="shared" si="4"/>
        <v>--</v>
      </c>
      <c r="AE445" s="21"/>
      <c r="AF445" s="21"/>
      <c r="AG445" s="21"/>
      <c r="AH445" s="21"/>
      <c r="AI445" s="21"/>
      <c r="AJ445" s="21"/>
      <c r="AN445" s="22"/>
      <c r="AO445" s="22"/>
      <c r="BF445" s="5"/>
      <c r="BG445" s="5"/>
    </row>
    <row r="446" spans="4:59" ht="13.9" customHeight="1" x14ac:dyDescent="0.2">
      <c r="D446" s="84"/>
      <c r="H446" s="84"/>
      <c r="M446" s="84"/>
      <c r="N446" s="84"/>
      <c r="O446" s="84"/>
      <c r="Q446" s="23"/>
      <c r="R446" s="238"/>
      <c r="S446" s="22"/>
      <c r="T446" s="228"/>
      <c r="Y446" s="229"/>
      <c r="Z446" s="277"/>
      <c r="AE446" s="21"/>
      <c r="AF446" s="21"/>
      <c r="AG446" s="21"/>
      <c r="AH446" s="21"/>
      <c r="AI446" s="21"/>
      <c r="AJ446" s="21"/>
      <c r="AN446" s="22"/>
      <c r="AO446" s="22"/>
      <c r="BF446" s="5"/>
      <c r="BG446" s="5"/>
    </row>
    <row r="447" spans="4:59" ht="13.9" customHeight="1" x14ac:dyDescent="0.2">
      <c r="D447" s="84"/>
      <c r="H447" s="84"/>
      <c r="M447" s="84"/>
      <c r="N447" s="84"/>
      <c r="O447" s="84"/>
      <c r="Q447" s="23"/>
      <c r="R447" s="238"/>
      <c r="S447" s="361" t="s">
        <v>583</v>
      </c>
      <c r="T447" s="228"/>
      <c r="Y447" s="392">
        <f>SUM(Y443,Y439:Y440,Y429:Y435,Y425:Y426,Y421:Y422,Y417,Y410)</f>
        <v>0</v>
      </c>
      <c r="Z447" s="393">
        <f>SUM(Z443,Z439:Z440,Z429:Z435,Z425:Z426,Z421:Z422,Z417,Z410)</f>
        <v>0</v>
      </c>
      <c r="AE447" s="21"/>
      <c r="AF447" s="21"/>
      <c r="AG447" s="21"/>
      <c r="AH447" s="21"/>
      <c r="AI447" s="21"/>
      <c r="AJ447" s="21"/>
      <c r="AN447" s="22"/>
      <c r="AO447" s="22"/>
      <c r="BF447" s="5"/>
      <c r="BG447" s="5"/>
    </row>
    <row r="448" spans="4:59" ht="13.9" customHeight="1" x14ac:dyDescent="0.2">
      <c r="D448" s="84"/>
      <c r="H448" s="84"/>
      <c r="M448" s="84"/>
      <c r="N448" s="84"/>
      <c r="O448" s="84"/>
      <c r="Q448" s="23"/>
      <c r="R448" s="238"/>
      <c r="S448" s="99"/>
      <c r="T448" s="228"/>
      <c r="Y448" s="229"/>
      <c r="AE448" s="21"/>
      <c r="AF448" s="21"/>
      <c r="AG448" s="21"/>
      <c r="AH448" s="21"/>
      <c r="AI448" s="21"/>
      <c r="AJ448" s="21"/>
      <c r="AN448" s="22"/>
      <c r="AO448" s="22"/>
      <c r="BF448" s="5"/>
      <c r="BG448" s="5"/>
    </row>
    <row r="449" spans="4:59" ht="13.9" customHeight="1" x14ac:dyDescent="0.2">
      <c r="D449" s="84"/>
      <c r="H449" s="84"/>
      <c r="M449" s="84"/>
      <c r="N449" s="84"/>
      <c r="O449" s="84"/>
      <c r="Q449" s="23"/>
      <c r="R449" s="238"/>
      <c r="S449" s="99" t="s">
        <v>594</v>
      </c>
      <c r="T449" s="228"/>
      <c r="U449" s="229">
        <f t="shared" ref="U449:U454" si="5">SUMIFS($Y$410:$Y$445,$W$410:$W$445,S449)</f>
        <v>0</v>
      </c>
      <c r="V449" s="277" t="str">
        <f>IF(ISERROR(U449/U$455),"--",U449/U$455)</f>
        <v>--</v>
      </c>
      <c r="AE449" s="21"/>
      <c r="AF449" s="21"/>
      <c r="AG449" s="21"/>
      <c r="AH449" s="21"/>
      <c r="AI449" s="21"/>
      <c r="AJ449" s="21"/>
      <c r="AN449" s="22"/>
      <c r="AO449" s="22"/>
      <c r="BF449" s="5"/>
      <c r="BG449" s="5"/>
    </row>
    <row r="450" spans="4:59" ht="13.9" customHeight="1" x14ac:dyDescent="0.2">
      <c r="D450" s="84"/>
      <c r="H450" s="84"/>
      <c r="M450" s="84"/>
      <c r="N450" s="84"/>
      <c r="O450" s="84"/>
      <c r="Q450" s="23"/>
      <c r="R450" s="238"/>
      <c r="S450" s="99" t="s">
        <v>40</v>
      </c>
      <c r="T450" s="228"/>
      <c r="U450" s="229">
        <f t="shared" si="5"/>
        <v>0</v>
      </c>
      <c r="V450" s="277" t="str">
        <f t="shared" ref="V450:V455" si="6">IF(ISERROR(U450/U$455),"--",U450/U$455)</f>
        <v>--</v>
      </c>
      <c r="AE450" s="21"/>
      <c r="AF450" s="21"/>
      <c r="AG450" s="21"/>
      <c r="AH450" s="21"/>
      <c r="AI450" s="21"/>
      <c r="AJ450" s="21"/>
      <c r="AN450" s="22"/>
      <c r="AO450" s="22"/>
      <c r="BF450" s="5"/>
      <c r="BG450" s="5"/>
    </row>
    <row r="451" spans="4:59" ht="13.9" customHeight="1" x14ac:dyDescent="0.2">
      <c r="D451" s="84"/>
      <c r="H451" s="84"/>
      <c r="M451" s="84"/>
      <c r="N451" s="84"/>
      <c r="O451" s="84"/>
      <c r="Q451" s="23"/>
      <c r="R451" s="238"/>
      <c r="S451" s="99" t="s">
        <v>595</v>
      </c>
      <c r="T451" s="228"/>
      <c r="U451" s="229">
        <f t="shared" si="5"/>
        <v>0</v>
      </c>
      <c r="V451" s="277" t="str">
        <f t="shared" si="6"/>
        <v>--</v>
      </c>
      <c r="AE451" s="21"/>
      <c r="AF451" s="21"/>
      <c r="AG451" s="21"/>
      <c r="AH451" s="21"/>
      <c r="AI451" s="21"/>
      <c r="AJ451" s="21"/>
      <c r="AN451" s="22"/>
      <c r="AO451" s="22"/>
      <c r="BF451" s="5"/>
      <c r="BG451" s="5"/>
    </row>
    <row r="452" spans="4:59" ht="13.9" customHeight="1" x14ac:dyDescent="0.2">
      <c r="D452" s="84"/>
      <c r="H452" s="84"/>
      <c r="M452" s="84"/>
      <c r="N452" s="84"/>
      <c r="O452" s="84"/>
      <c r="Q452" s="23"/>
      <c r="R452" s="238"/>
      <c r="S452" s="99" t="s">
        <v>683</v>
      </c>
      <c r="T452" s="228"/>
      <c r="U452" s="229">
        <f t="shared" si="5"/>
        <v>0</v>
      </c>
      <c r="V452" s="277" t="str">
        <f t="shared" si="6"/>
        <v>--</v>
      </c>
      <c r="AE452" s="21"/>
      <c r="AF452" s="21"/>
      <c r="AG452" s="21"/>
      <c r="AH452" s="21"/>
      <c r="AI452" s="21"/>
      <c r="AJ452" s="21"/>
      <c r="AN452" s="22"/>
      <c r="AO452" s="22"/>
      <c r="BF452" s="5"/>
      <c r="BG452" s="5"/>
    </row>
    <row r="453" spans="4:59" ht="13.9" customHeight="1" x14ac:dyDescent="0.2">
      <c r="D453" s="84"/>
      <c r="H453" s="84"/>
      <c r="M453" s="84"/>
      <c r="N453" s="84"/>
      <c r="O453" s="84"/>
      <c r="Q453" s="23"/>
      <c r="R453" s="238"/>
      <c r="S453" s="99" t="s">
        <v>600</v>
      </c>
      <c r="T453" s="228"/>
      <c r="U453" s="229">
        <f t="shared" si="5"/>
        <v>0</v>
      </c>
      <c r="V453" s="277" t="str">
        <f t="shared" si="6"/>
        <v>--</v>
      </c>
      <c r="AE453" s="21"/>
      <c r="AF453" s="21"/>
      <c r="AG453" s="21"/>
      <c r="AH453" s="21"/>
      <c r="AI453" s="21"/>
      <c r="AJ453" s="21"/>
      <c r="AN453" s="22"/>
      <c r="AO453" s="22"/>
      <c r="BF453" s="5"/>
      <c r="BG453" s="5"/>
    </row>
    <row r="454" spans="4:59" ht="13.9" customHeight="1" x14ac:dyDescent="0.2">
      <c r="D454" s="84"/>
      <c r="H454" s="84"/>
      <c r="M454" s="84"/>
      <c r="N454" s="84"/>
      <c r="O454" s="84"/>
      <c r="Q454" s="23"/>
      <c r="R454" s="238"/>
      <c r="S454" s="99" t="s">
        <v>601</v>
      </c>
      <c r="T454" s="228"/>
      <c r="U454" s="229">
        <f t="shared" si="5"/>
        <v>0</v>
      </c>
      <c r="V454" s="277" t="str">
        <f t="shared" si="6"/>
        <v>--</v>
      </c>
      <c r="AE454" s="21"/>
      <c r="AF454" s="21"/>
      <c r="AG454" s="21"/>
      <c r="AH454" s="21"/>
      <c r="AI454" s="21"/>
      <c r="AJ454" s="21"/>
      <c r="AN454" s="22"/>
      <c r="AO454" s="22"/>
      <c r="BF454" s="5"/>
      <c r="BG454" s="5"/>
    </row>
    <row r="455" spans="4:59" ht="13.9" customHeight="1" x14ac:dyDescent="0.2">
      <c r="D455" s="84"/>
      <c r="H455" s="84"/>
      <c r="M455" s="84"/>
      <c r="N455" s="84"/>
      <c r="O455" s="84"/>
      <c r="Q455" s="23"/>
      <c r="R455" s="238"/>
      <c r="S455" s="99" t="s">
        <v>605</v>
      </c>
      <c r="T455" s="228"/>
      <c r="U455" s="229">
        <f>SUM(U449:U454)</f>
        <v>0</v>
      </c>
      <c r="V455" s="277" t="str">
        <f t="shared" si="6"/>
        <v>--</v>
      </c>
      <c r="AE455" s="21"/>
      <c r="AF455" s="21"/>
      <c r="AG455" s="21"/>
      <c r="AH455" s="21"/>
      <c r="AI455" s="21"/>
      <c r="AJ455" s="21"/>
      <c r="AN455" s="22"/>
      <c r="AO455" s="22"/>
      <c r="BF455" s="5"/>
      <c r="BG455" s="5"/>
    </row>
    <row r="457" spans="4:59" ht="13.9" customHeight="1" x14ac:dyDescent="0.2">
      <c r="D457" s="84"/>
      <c r="H457" s="84"/>
      <c r="M457" s="84"/>
      <c r="N457" s="84"/>
      <c r="O457" s="84"/>
      <c r="Q457" s="23"/>
      <c r="R457" s="238"/>
      <c r="S457" s="361" t="s">
        <v>686</v>
      </c>
      <c r="T457" s="228"/>
      <c r="AE457" s="21"/>
      <c r="AF457" s="21"/>
      <c r="AG457" s="21"/>
      <c r="AH457" s="21"/>
      <c r="AI457" s="21"/>
      <c r="AJ457" s="21"/>
      <c r="AN457" s="22"/>
      <c r="AO457" s="22"/>
      <c r="BF457" s="5"/>
      <c r="BG457" s="5"/>
    </row>
    <row r="458" spans="4:59" ht="13.9" customHeight="1" x14ac:dyDescent="0.2">
      <c r="D458" s="84"/>
      <c r="H458" s="84"/>
      <c r="M458" s="84"/>
      <c r="N458" s="84"/>
      <c r="O458" s="84"/>
      <c r="Q458" s="23"/>
      <c r="R458" s="238"/>
      <c r="S458" s="284" t="s">
        <v>597</v>
      </c>
      <c r="T458" s="281"/>
      <c r="U458" s="281"/>
      <c r="V458" s="281"/>
      <c r="W458" s="281"/>
      <c r="X458" s="281"/>
      <c r="Y458" s="282">
        <f>SUM(Y459)</f>
        <v>0</v>
      </c>
      <c r="Z458" s="283"/>
      <c r="AE458" s="21"/>
      <c r="AF458" s="21"/>
      <c r="AG458" s="21"/>
      <c r="AH458" s="21"/>
      <c r="AI458" s="21"/>
      <c r="AJ458" s="21"/>
      <c r="AN458" s="22"/>
      <c r="AO458" s="22"/>
      <c r="BF458" s="5"/>
      <c r="BG458" s="5"/>
    </row>
    <row r="459" spans="4:59" ht="13.9" customHeight="1" x14ac:dyDescent="0.2">
      <c r="D459" s="84"/>
      <c r="H459" s="84"/>
      <c r="M459" s="84"/>
      <c r="N459" s="84"/>
      <c r="O459" s="84"/>
      <c r="Q459" s="23"/>
      <c r="R459" s="238"/>
      <c r="S459" s="246" t="s">
        <v>572</v>
      </c>
      <c r="T459" s="228"/>
      <c r="W459" s="228" t="s">
        <v>604</v>
      </c>
      <c r="X459" s="228" t="s">
        <v>573</v>
      </c>
      <c r="Y459" s="229">
        <f>SUM(R30)</f>
        <v>0</v>
      </c>
      <c r="Z459" s="277"/>
      <c r="AE459" s="21"/>
      <c r="AF459" s="21"/>
      <c r="AG459" s="21"/>
      <c r="AH459" s="21"/>
      <c r="AI459" s="21"/>
      <c r="AJ459" s="21"/>
      <c r="AN459" s="22"/>
      <c r="AO459" s="22"/>
      <c r="BF459" s="5"/>
      <c r="BG459" s="5"/>
    </row>
    <row r="460" spans="4:59" ht="13.9" customHeight="1" x14ac:dyDescent="0.2">
      <c r="D460" s="84"/>
      <c r="H460" s="84"/>
      <c r="M460" s="84"/>
      <c r="N460" s="84"/>
      <c r="O460" s="84"/>
      <c r="Q460" s="23"/>
      <c r="R460" s="238"/>
      <c r="S460" s="99" t="s">
        <v>598</v>
      </c>
      <c r="T460" s="228"/>
      <c r="Y460" s="228" t="s">
        <v>599</v>
      </c>
      <c r="AE460" s="21"/>
      <c r="AF460" s="21"/>
      <c r="AG460" s="21"/>
      <c r="AH460" s="21"/>
      <c r="AI460" s="21"/>
      <c r="AJ460" s="21"/>
      <c r="AN460" s="22"/>
      <c r="AO460" s="22"/>
      <c r="BF460" s="5"/>
      <c r="BG460" s="5"/>
    </row>
    <row r="461" spans="4:59" ht="13.9" customHeight="1" x14ac:dyDescent="0.2">
      <c r="D461" s="84"/>
      <c r="H461" s="84"/>
      <c r="M461" s="84"/>
      <c r="N461" s="84"/>
      <c r="O461" s="84"/>
      <c r="Q461" s="23"/>
      <c r="R461" s="238"/>
      <c r="S461" s="21"/>
      <c r="T461" s="228"/>
      <c r="AE461" s="21"/>
      <c r="AF461" s="21"/>
      <c r="AG461" s="21"/>
      <c r="AH461" s="21"/>
      <c r="AI461" s="21"/>
      <c r="AJ461" s="21"/>
      <c r="AN461" s="22"/>
      <c r="AO461" s="22"/>
      <c r="BF461" s="5"/>
      <c r="BG461" s="5"/>
    </row>
    <row r="462" spans="4:59" ht="13.5" customHeight="1" x14ac:dyDescent="0.2">
      <c r="D462" s="84"/>
      <c r="H462" s="84"/>
      <c r="M462" s="84"/>
      <c r="N462" s="84"/>
      <c r="O462" s="84"/>
      <c r="Q462" s="23"/>
      <c r="R462" s="238"/>
      <c r="S462" s="284" t="s">
        <v>351</v>
      </c>
      <c r="T462" s="281"/>
      <c r="U462" s="281"/>
      <c r="V462" s="281"/>
      <c r="W462" s="281" t="s">
        <v>689</v>
      </c>
      <c r="X462" s="281"/>
      <c r="Y462" s="282">
        <f>SUM(Y464,Y463)</f>
        <v>0</v>
      </c>
      <c r="Z462" s="283"/>
      <c r="AE462" s="21"/>
      <c r="AF462" s="21"/>
      <c r="AG462" s="21"/>
      <c r="AH462" s="21"/>
      <c r="AI462" s="21"/>
      <c r="AJ462" s="21"/>
      <c r="AN462" s="22"/>
      <c r="AO462" s="22"/>
      <c r="BF462" s="5"/>
      <c r="BG462" s="5"/>
    </row>
    <row r="463" spans="4:59" ht="13.9" customHeight="1" x14ac:dyDescent="0.2">
      <c r="D463" s="84"/>
      <c r="H463" s="84"/>
      <c r="M463" s="84"/>
      <c r="N463" s="84"/>
      <c r="O463" s="84"/>
      <c r="Q463" s="23"/>
      <c r="R463" s="238"/>
      <c r="S463" s="246" t="s">
        <v>609</v>
      </c>
      <c r="T463" s="228"/>
      <c r="W463" s="228" t="s">
        <v>582</v>
      </c>
      <c r="X463" s="228" t="s">
        <v>350</v>
      </c>
      <c r="Y463" s="229">
        <f>SUM(R296,R297,R299,R300,R302,R303,R305,R306,R308,R309)</f>
        <v>0</v>
      </c>
      <c r="Z463" s="277"/>
      <c r="AE463" s="21"/>
      <c r="AF463" s="21"/>
      <c r="AG463" s="21"/>
      <c r="AH463" s="21"/>
      <c r="AI463" s="21"/>
      <c r="AJ463" s="21"/>
      <c r="AN463" s="22"/>
      <c r="AO463" s="22"/>
      <c r="BF463" s="5"/>
      <c r="BG463" s="5"/>
    </row>
    <row r="464" spans="4:59" ht="13.9" customHeight="1" x14ac:dyDescent="0.2">
      <c r="D464" s="84"/>
      <c r="H464" s="84"/>
      <c r="M464" s="84"/>
      <c r="N464" s="84"/>
      <c r="O464" s="84"/>
      <c r="Q464" s="23"/>
      <c r="R464" s="238"/>
      <c r="S464" s="246" t="s">
        <v>610</v>
      </c>
      <c r="T464" s="228"/>
      <c r="W464" s="228" t="s">
        <v>582</v>
      </c>
      <c r="X464" s="228" t="s">
        <v>350</v>
      </c>
      <c r="Y464" s="229">
        <f>SUM(R316)</f>
        <v>0</v>
      </c>
      <c r="Z464" s="277"/>
      <c r="AE464" s="21"/>
      <c r="AF464" s="21"/>
      <c r="AG464" s="21"/>
      <c r="AH464" s="21"/>
      <c r="AI464" s="21"/>
      <c r="AJ464" s="21"/>
      <c r="AN464" s="22"/>
      <c r="AO464" s="22"/>
      <c r="BF464" s="5"/>
      <c r="BG464" s="5"/>
    </row>
    <row r="465" spans="4:59" ht="13.9" customHeight="1" x14ac:dyDescent="0.2">
      <c r="D465" s="84"/>
      <c r="H465" s="84"/>
      <c r="M465" s="84"/>
      <c r="N465" s="84"/>
      <c r="O465" s="84"/>
      <c r="Q465" s="23"/>
      <c r="R465" s="238"/>
      <c r="S465" s="21"/>
      <c r="T465" s="228"/>
      <c r="AE465" s="21"/>
      <c r="AF465" s="21"/>
      <c r="AG465" s="21"/>
      <c r="AH465" s="21"/>
      <c r="AI465" s="21"/>
      <c r="AJ465" s="21"/>
      <c r="AN465" s="22"/>
      <c r="AO465" s="22"/>
      <c r="BF465" s="5"/>
      <c r="BG465" s="5"/>
    </row>
    <row r="466" spans="4:59" ht="13.9" customHeight="1" x14ac:dyDescent="0.2">
      <c r="D466" s="84"/>
      <c r="H466" s="84"/>
      <c r="M466" s="84"/>
      <c r="N466" s="84"/>
      <c r="O466" s="84"/>
      <c r="Q466" s="23"/>
      <c r="R466" s="238"/>
      <c r="S466" s="21"/>
      <c r="T466" s="228"/>
      <c r="AE466" s="21"/>
      <c r="AF466" s="21"/>
      <c r="AG466" s="21"/>
      <c r="AH466" s="21"/>
      <c r="AI466" s="21"/>
      <c r="AJ466" s="21"/>
      <c r="AN466" s="22"/>
      <c r="AO466" s="22"/>
      <c r="BF466" s="5"/>
      <c r="BG466" s="5"/>
    </row>
    <row r="467" spans="4:59" ht="13.9" customHeight="1" x14ac:dyDescent="0.2">
      <c r="D467" s="84"/>
      <c r="H467" s="84"/>
      <c r="M467" s="84"/>
      <c r="N467" s="84"/>
      <c r="O467" s="84"/>
      <c r="Q467" s="23"/>
      <c r="R467" s="238"/>
      <c r="S467" s="21"/>
      <c r="T467" s="228"/>
      <c r="AE467" s="21"/>
      <c r="AF467" s="21"/>
      <c r="AG467" s="21"/>
      <c r="AH467" s="21"/>
      <c r="AI467" s="21"/>
      <c r="AJ467" s="21"/>
      <c r="AN467" s="22"/>
      <c r="AO467" s="22"/>
      <c r="BF467" s="5"/>
      <c r="BG467" s="5"/>
    </row>
    <row r="468" spans="4:59" ht="13.9" customHeight="1" x14ac:dyDescent="0.2">
      <c r="D468" s="84"/>
      <c r="H468" s="84"/>
      <c r="M468" s="84"/>
      <c r="N468" s="84"/>
      <c r="O468" s="84"/>
      <c r="Q468" s="23"/>
      <c r="R468" s="238"/>
      <c r="S468" s="21"/>
      <c r="T468" s="228"/>
      <c r="AE468" s="21"/>
      <c r="AF468" s="21"/>
      <c r="AG468" s="21"/>
      <c r="AH468" s="21"/>
      <c r="AI468" s="21"/>
      <c r="AJ468" s="21"/>
      <c r="AN468" s="22"/>
      <c r="AO468" s="22"/>
      <c r="BF468" s="5"/>
      <c r="BG468" s="5"/>
    </row>
    <row r="469" spans="4:59" ht="13.9" customHeight="1" x14ac:dyDescent="0.2">
      <c r="D469" s="84"/>
      <c r="H469" s="84"/>
      <c r="M469" s="84"/>
      <c r="N469" s="84"/>
      <c r="O469" s="84"/>
      <c r="Q469" s="23"/>
      <c r="R469" s="238"/>
      <c r="S469" s="21"/>
      <c r="T469" s="228"/>
      <c r="AE469" s="21"/>
      <c r="AF469" s="21"/>
      <c r="AG469" s="21"/>
      <c r="AH469" s="21"/>
      <c r="AI469" s="21"/>
      <c r="AJ469" s="21"/>
      <c r="AN469" s="22"/>
      <c r="AO469" s="22"/>
      <c r="BF469" s="5"/>
      <c r="BG469" s="5"/>
    </row>
    <row r="470" spans="4:59" ht="13.9" customHeight="1" x14ac:dyDescent="0.2">
      <c r="D470" s="84"/>
      <c r="H470" s="84"/>
      <c r="M470" s="84"/>
      <c r="N470" s="84"/>
      <c r="O470" s="84"/>
      <c r="Q470" s="23"/>
      <c r="R470" s="238"/>
      <c r="S470" s="21"/>
      <c r="T470" s="228"/>
      <c r="AE470" s="21"/>
      <c r="AF470" s="21"/>
      <c r="AG470" s="21"/>
      <c r="AH470" s="21"/>
      <c r="AI470" s="21"/>
      <c r="AJ470" s="21"/>
      <c r="AN470" s="22"/>
      <c r="AO470" s="22"/>
      <c r="BF470" s="5"/>
      <c r="BG470" s="5"/>
    </row>
    <row r="471" spans="4:59" ht="13.9" customHeight="1" x14ac:dyDescent="0.2">
      <c r="D471" s="84"/>
      <c r="H471" s="84"/>
      <c r="M471" s="84"/>
      <c r="N471" s="84"/>
      <c r="O471" s="84"/>
      <c r="Q471" s="23"/>
      <c r="R471" s="238"/>
      <c r="S471" s="21"/>
      <c r="T471" s="228"/>
      <c r="AE471" s="21"/>
      <c r="AF471" s="21"/>
      <c r="AG471" s="21"/>
      <c r="AH471" s="21"/>
      <c r="AI471" s="21"/>
      <c r="AJ471" s="21"/>
      <c r="AN471" s="22"/>
      <c r="AO471" s="22"/>
      <c r="BF471" s="5"/>
      <c r="BG471" s="5"/>
    </row>
    <row r="472" spans="4:59" ht="13.9" customHeight="1" x14ac:dyDescent="0.2">
      <c r="D472" s="84"/>
      <c r="H472" s="84"/>
      <c r="M472" s="84"/>
      <c r="N472" s="84"/>
      <c r="O472" s="84"/>
      <c r="Q472" s="23"/>
      <c r="R472" s="238"/>
      <c r="S472" s="21"/>
      <c r="T472" s="228"/>
      <c r="AE472" s="21"/>
      <c r="AF472" s="21"/>
      <c r="AG472" s="21"/>
      <c r="AH472" s="21"/>
      <c r="AI472" s="21"/>
      <c r="AJ472" s="21"/>
      <c r="AN472" s="22"/>
      <c r="AO472" s="22"/>
      <c r="BF472" s="5"/>
      <c r="BG472" s="5"/>
    </row>
    <row r="473" spans="4:59" ht="13.9" customHeight="1" x14ac:dyDescent="0.2">
      <c r="D473" s="84"/>
      <c r="H473" s="84"/>
      <c r="M473" s="84"/>
      <c r="N473" s="84"/>
      <c r="O473" s="84"/>
      <c r="Q473" s="23"/>
      <c r="R473" s="238"/>
      <c r="S473" s="21"/>
      <c r="T473" s="228"/>
      <c r="AE473" s="21"/>
      <c r="AF473" s="21"/>
      <c r="AG473" s="21"/>
      <c r="AH473" s="21"/>
      <c r="AI473" s="21"/>
      <c r="AJ473" s="21"/>
      <c r="AN473" s="22"/>
      <c r="AO473" s="22"/>
      <c r="BF473" s="5"/>
      <c r="BG473" s="5"/>
    </row>
    <row r="474" spans="4:59" ht="13.9" customHeight="1" x14ac:dyDescent="0.2">
      <c r="D474" s="84"/>
      <c r="H474" s="84"/>
      <c r="M474" s="84"/>
      <c r="N474" s="84"/>
      <c r="O474" s="84"/>
      <c r="Q474" s="23"/>
      <c r="R474" s="238"/>
      <c r="S474" s="21"/>
      <c r="T474" s="228"/>
      <c r="AE474" s="21"/>
      <c r="AF474" s="21"/>
      <c r="AG474" s="21"/>
      <c r="AH474" s="21"/>
      <c r="AI474" s="21"/>
      <c r="AJ474" s="21"/>
      <c r="AN474" s="22"/>
      <c r="AO474" s="22"/>
      <c r="BF474" s="5"/>
      <c r="BG474" s="5"/>
    </row>
    <row r="475" spans="4:59" ht="13.9" customHeight="1" x14ac:dyDescent="0.2">
      <c r="D475" s="84"/>
      <c r="H475" s="84"/>
      <c r="M475" s="84"/>
      <c r="N475" s="84"/>
      <c r="O475" s="84"/>
      <c r="Q475" s="23"/>
      <c r="R475" s="238"/>
      <c r="S475" s="21"/>
      <c r="T475" s="228"/>
      <c r="AE475" s="21"/>
      <c r="AF475" s="21"/>
      <c r="AG475" s="21"/>
      <c r="AH475" s="21"/>
      <c r="AI475" s="21"/>
      <c r="AJ475" s="21"/>
      <c r="AN475" s="22"/>
      <c r="AO475" s="22"/>
      <c r="BF475" s="5"/>
      <c r="BG475" s="5"/>
    </row>
    <row r="476" spans="4:59" ht="13.9" customHeight="1" x14ac:dyDescent="0.2">
      <c r="D476" s="84"/>
      <c r="H476" s="84"/>
      <c r="M476" s="84"/>
      <c r="N476" s="84"/>
      <c r="O476" s="84"/>
      <c r="Q476" s="23"/>
      <c r="R476" s="238"/>
      <c r="S476" s="21"/>
      <c r="T476" s="228"/>
      <c r="AE476" s="21"/>
      <c r="AF476" s="21"/>
      <c r="AG476" s="21"/>
      <c r="AH476" s="21"/>
      <c r="AI476" s="21"/>
      <c r="AJ476" s="21"/>
      <c r="AN476" s="22"/>
      <c r="AO476" s="22"/>
      <c r="BF476" s="5"/>
      <c r="BG476" s="5"/>
    </row>
    <row r="477" spans="4:59" ht="13.9" customHeight="1" x14ac:dyDescent="0.2">
      <c r="D477" s="84"/>
      <c r="H477" s="84"/>
      <c r="M477" s="84"/>
      <c r="N477" s="84"/>
      <c r="O477" s="84"/>
      <c r="Q477" s="23"/>
      <c r="R477" s="238"/>
      <c r="S477" s="21"/>
      <c r="T477" s="228"/>
      <c r="AE477" s="21"/>
      <c r="AF477" s="21"/>
      <c r="AG477" s="21"/>
      <c r="AH477" s="21"/>
      <c r="AI477" s="21"/>
      <c r="AJ477" s="21"/>
      <c r="AN477" s="22"/>
      <c r="AO477" s="22"/>
      <c r="BF477" s="5"/>
      <c r="BG477" s="5"/>
    </row>
    <row r="478" spans="4:59" ht="13.9" customHeight="1" x14ac:dyDescent="0.2">
      <c r="D478" s="84"/>
      <c r="H478" s="84"/>
      <c r="M478" s="84"/>
      <c r="N478" s="84"/>
      <c r="O478" s="84"/>
      <c r="Q478" s="23"/>
      <c r="R478" s="238"/>
      <c r="S478" s="21"/>
      <c r="T478" s="228"/>
      <c r="AE478" s="21"/>
      <c r="AF478" s="21"/>
      <c r="AG478" s="21"/>
      <c r="AH478" s="21"/>
      <c r="AI478" s="21"/>
      <c r="AJ478" s="21"/>
      <c r="AN478" s="22"/>
      <c r="AO478" s="22"/>
      <c r="BF478" s="5"/>
      <c r="BG478" s="5"/>
    </row>
    <row r="479" spans="4:59" ht="13.9" customHeight="1" x14ac:dyDescent="0.2">
      <c r="D479" s="84"/>
      <c r="H479" s="84"/>
      <c r="M479" s="84"/>
      <c r="N479" s="84"/>
      <c r="O479" s="84"/>
      <c r="Q479" s="23"/>
      <c r="R479" s="238"/>
      <c r="S479" s="21"/>
      <c r="T479" s="228"/>
      <c r="AE479" s="21"/>
      <c r="AF479" s="21"/>
      <c r="AG479" s="21"/>
      <c r="AH479" s="21"/>
      <c r="AI479" s="21"/>
      <c r="AJ479" s="21"/>
      <c r="AN479" s="22"/>
      <c r="AO479" s="22"/>
      <c r="BF479" s="5"/>
      <c r="BG479" s="5"/>
    </row>
    <row r="480" spans="4:59" ht="13.9" customHeight="1" x14ac:dyDescent="0.2">
      <c r="D480" s="84"/>
      <c r="H480" s="84"/>
      <c r="M480" s="84"/>
      <c r="N480" s="84"/>
      <c r="O480" s="84"/>
      <c r="Q480" s="23"/>
      <c r="R480" s="238"/>
      <c r="S480" s="21"/>
      <c r="T480" s="228"/>
      <c r="AE480" s="21"/>
      <c r="AF480" s="21"/>
      <c r="AG480" s="21"/>
      <c r="AH480" s="21"/>
      <c r="AI480" s="21"/>
      <c r="AJ480" s="21"/>
      <c r="AN480" s="22"/>
      <c r="AO480" s="22"/>
      <c r="BF480" s="5"/>
      <c r="BG480" s="5"/>
    </row>
    <row r="481" spans="4:59" ht="13.9" customHeight="1" x14ac:dyDescent="0.2">
      <c r="D481" s="84"/>
      <c r="H481" s="84"/>
      <c r="M481" s="84"/>
      <c r="N481" s="84"/>
      <c r="O481" s="84"/>
      <c r="Q481" s="23"/>
      <c r="R481" s="238"/>
      <c r="S481" s="21"/>
      <c r="T481" s="228"/>
      <c r="AE481" s="21"/>
      <c r="AF481" s="21"/>
      <c r="AG481" s="21"/>
      <c r="AH481" s="21"/>
      <c r="AI481" s="21"/>
      <c r="AJ481" s="21"/>
      <c r="AN481" s="22"/>
      <c r="AO481" s="22"/>
      <c r="BF481" s="5"/>
      <c r="BG481" s="5"/>
    </row>
  </sheetData>
  <mergeCells count="62">
    <mergeCell ref="C97:G97"/>
    <mergeCell ref="C11:G11"/>
    <mergeCell ref="C16:G16"/>
    <mergeCell ref="C21:G21"/>
    <mergeCell ref="C26:D26"/>
    <mergeCell ref="C57:G57"/>
    <mergeCell ref="C44:G44"/>
    <mergeCell ref="C40:G40"/>
    <mergeCell ref="C48:G48"/>
    <mergeCell ref="C246:G246"/>
    <mergeCell ref="C262:G262"/>
    <mergeCell ref="C171:D171"/>
    <mergeCell ref="C176:D176"/>
    <mergeCell ref="C172:G172"/>
    <mergeCell ref="C187:D187"/>
    <mergeCell ref="C179:D179"/>
    <mergeCell ref="C183:D183"/>
    <mergeCell ref="C182:D182"/>
    <mergeCell ref="C184:D184"/>
    <mergeCell ref="C180:G180"/>
    <mergeCell ref="C133:D133"/>
    <mergeCell ref="C136:D136"/>
    <mergeCell ref="C139:D139"/>
    <mergeCell ref="C142:D142"/>
    <mergeCell ref="C145:D145"/>
    <mergeCell ref="C155:D155"/>
    <mergeCell ref="C158:D158"/>
    <mergeCell ref="C159:D159"/>
    <mergeCell ref="C156:G156"/>
    <mergeCell ref="C166:D166"/>
    <mergeCell ref="C167:D167"/>
    <mergeCell ref="C62:G62"/>
    <mergeCell ref="C67:G67"/>
    <mergeCell ref="C72:G72"/>
    <mergeCell ref="C77:G77"/>
    <mergeCell ref="C81:D81"/>
    <mergeCell ref="C102:G102"/>
    <mergeCell ref="C107:G107"/>
    <mergeCell ref="C112:G112"/>
    <mergeCell ref="C117:G117"/>
    <mergeCell ref="C121:D121"/>
    <mergeCell ref="B150:H150"/>
    <mergeCell ref="B151:H151"/>
    <mergeCell ref="C160:D160"/>
    <mergeCell ref="C163:D163"/>
    <mergeCell ref="C164:G164"/>
    <mergeCell ref="C168:D168"/>
    <mergeCell ref="C282:G282"/>
    <mergeCell ref="C324:D324"/>
    <mergeCell ref="C126:G126"/>
    <mergeCell ref="C250:G250"/>
    <mergeCell ref="C254:G254"/>
    <mergeCell ref="C267:G267"/>
    <mergeCell ref="C272:G272"/>
    <mergeCell ref="C277:G277"/>
    <mergeCell ref="C188:G188"/>
    <mergeCell ref="C190:D190"/>
    <mergeCell ref="C191:D191"/>
    <mergeCell ref="C192:D192"/>
    <mergeCell ref="C237:D237"/>
    <mergeCell ref="C174:D174"/>
    <mergeCell ref="C175:D175"/>
  </mergeCells>
  <conditionalFormatting sqref="G56">
    <cfRule type="expression" dxfId="86" priority="34">
      <formula>(D56="t")</formula>
    </cfRule>
  </conditionalFormatting>
  <conditionalFormatting sqref="G61">
    <cfRule type="expression" dxfId="85" priority="33">
      <formula>(D61="t")</formula>
    </cfRule>
  </conditionalFormatting>
  <conditionalFormatting sqref="G66">
    <cfRule type="expression" dxfId="84" priority="32">
      <formula>(D66="t")</formula>
    </cfRule>
  </conditionalFormatting>
  <conditionalFormatting sqref="G71">
    <cfRule type="expression" dxfId="83" priority="31">
      <formula>(D71="t")</formula>
    </cfRule>
  </conditionalFormatting>
  <conditionalFormatting sqref="G76">
    <cfRule type="expression" dxfId="82" priority="30">
      <formula>(D76="t")</formula>
    </cfRule>
  </conditionalFormatting>
  <conditionalFormatting sqref="G134 G137 G140 G143 G146">
    <cfRule type="expression" dxfId="81" priority="1">
      <formula>$D134="Oma yksikkö"</formula>
    </cfRule>
  </conditionalFormatting>
  <conditionalFormatting sqref="G261">
    <cfRule type="expression" dxfId="80" priority="16">
      <formula>(D261="t")</formula>
    </cfRule>
  </conditionalFormatting>
  <conditionalFormatting sqref="G266">
    <cfRule type="expression" dxfId="79" priority="14">
      <formula>(D266="t")</formula>
    </cfRule>
  </conditionalFormatting>
  <conditionalFormatting sqref="G271">
    <cfRule type="expression" dxfId="78" priority="13">
      <formula>(D271="t")</formula>
    </cfRule>
  </conditionalFormatting>
  <conditionalFormatting sqref="G276">
    <cfRule type="expression" dxfId="77" priority="12">
      <formula>(D276="t")</formula>
    </cfRule>
  </conditionalFormatting>
  <conditionalFormatting sqref="G281">
    <cfRule type="expression" dxfId="76" priority="15">
      <formula>(D281="t")</formula>
    </cfRule>
  </conditionalFormatting>
  <dataValidations count="1">
    <dataValidation allowBlank="1" sqref="D198 D210 D223" xr:uid="{014A34F8-929B-4BEA-B169-62C3059DBA8A}"/>
  </dataValidations>
  <pageMargins left="0.70866141732283472" right="0.70866141732283472" top="0.74803149606299213" bottom="0.74803149606299213" header="0.31496062992125984" footer="0.31496062992125984"/>
  <pageSetup paperSize="9" scale="75" orientation="landscape" verticalDpi="0" r:id="rId1"/>
  <headerFooter>
    <oddHeader>&amp;L&amp;"-,Lihavoitu"&amp;12PIIP-laskentatyökalu&amp;RTermiset menetelmät
Sivu &amp;P/&amp;N</oddHeader>
    <oddFooter>&amp;L&amp;G&amp;R&amp;G</oddFooter>
  </headerFooter>
  <ignoredErrors>
    <ignoredError sqref="K298 R298 K301 R301 K304 R304 K307 R307" formula="1"/>
  </ignoredErrors>
  <legacy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35" id="{99EE3EA0-A2A5-4926-ABD1-C08DC2BED2AA}">
            <xm:f>$C$48=Pudotusvalikot!$D$68</xm:f>
            <x14:dxf>
              <fill>
                <patternFill>
                  <bgColor theme="2" tint="0.59996337778862885"/>
                </patternFill>
              </fill>
            </x14:dxf>
          </x14:cfRule>
          <xm:sqref>L40:L41 L44:L45 L48:L49</xm:sqref>
        </x14:conditionalFormatting>
        <x14:conditionalFormatting xmlns:xm="http://schemas.microsoft.com/office/excel/2006/main">
          <x14:cfRule type="expression" priority="2" id="{1B3C0E41-1EDC-446B-81AE-7E206E62894C}">
            <xm:f>$C$40=Pudotusvalikot!$D$68</xm:f>
            <x14:dxf>
              <fill>
                <patternFill>
                  <bgColor theme="2" tint="0.59996337778862885"/>
                </patternFill>
              </fill>
            </x14:dxf>
          </x14:cfRule>
          <xm:sqref>L125</xm:sqref>
        </x14:conditionalFormatting>
        <x14:conditionalFormatting xmlns:xm="http://schemas.microsoft.com/office/excel/2006/main">
          <x14:cfRule type="expression" priority="29" id="{0CFDC9EB-2726-449F-8C00-7ACE1B3C84A1}">
            <xm:f>#REF!=Pudotusvalikot!$D$68</xm:f>
            <x14:dxf>
              <fill>
                <patternFill>
                  <bgColor theme="2" tint="0.59996337778862885"/>
                </patternFill>
              </fill>
            </x14:dxf>
          </x14:cfRule>
          <xm:sqref>L198</xm:sqref>
        </x14:conditionalFormatting>
        <x14:conditionalFormatting xmlns:xm="http://schemas.microsoft.com/office/excel/2006/main">
          <x14:cfRule type="expression" priority="27" id="{DADC7FC4-F061-4633-B6EF-697CB11F5472}">
            <xm:f>#REF!=Pudotusvalikot!$D$68</xm:f>
            <x14:dxf>
              <fill>
                <patternFill>
                  <bgColor theme="2" tint="0.59996337778862885"/>
                </patternFill>
              </fill>
            </x14:dxf>
          </x14:cfRule>
          <xm:sqref>L199</xm:sqref>
        </x14:conditionalFormatting>
        <x14:conditionalFormatting xmlns:xm="http://schemas.microsoft.com/office/excel/2006/main">
          <x14:cfRule type="expression" priority="36" id="{94C2D39B-478F-4BB6-8A16-388CB787D59A}">
            <xm:f>#REF!=Pudotusvalikot!$D$68</xm:f>
            <x14:dxf>
              <fill>
                <patternFill>
                  <bgColor theme="2" tint="0.59996337778862885"/>
                </patternFill>
              </fill>
            </x14:dxf>
          </x14:cfRule>
          <xm:sqref>L204</xm:sqref>
        </x14:conditionalFormatting>
        <x14:conditionalFormatting xmlns:xm="http://schemas.microsoft.com/office/excel/2006/main">
          <x14:cfRule type="expression" priority="25" id="{E5F553A8-D9C9-499C-A350-BE5C0B7976A0}">
            <xm:f>#REF!=Pudotusvalikot!$D$68</xm:f>
            <x14:dxf>
              <fill>
                <patternFill>
                  <bgColor theme="2" tint="0.59996337778862885"/>
                </patternFill>
              </fill>
            </x14:dxf>
          </x14:cfRule>
          <xm:sqref>L210:L211</xm:sqref>
        </x14:conditionalFormatting>
        <x14:conditionalFormatting xmlns:xm="http://schemas.microsoft.com/office/excel/2006/main">
          <x14:cfRule type="expression" priority="26" id="{5E61A9E4-2EB5-40F7-9628-6C7C2D92D7EA}">
            <xm:f>#REF!=Pudotusvalikot!$D$68</xm:f>
            <x14:dxf>
              <fill>
                <patternFill>
                  <bgColor theme="2" tint="0.59996337778862885"/>
                </patternFill>
              </fill>
            </x14:dxf>
          </x14:cfRule>
          <xm:sqref>L216</xm:sqref>
        </x14:conditionalFormatting>
        <x14:conditionalFormatting xmlns:xm="http://schemas.microsoft.com/office/excel/2006/main">
          <x14:cfRule type="expression" priority="23" id="{774CB860-7CB7-4D98-B9E6-3E314E4BBE23}">
            <xm:f>#REF!=Pudotusvalikot!$D$68</xm:f>
            <x14:dxf>
              <fill>
                <patternFill>
                  <bgColor theme="2" tint="0.59996337778862885"/>
                </patternFill>
              </fill>
            </x14:dxf>
          </x14:cfRule>
          <xm:sqref>L223:L224</xm:sqref>
        </x14:conditionalFormatting>
        <x14:conditionalFormatting xmlns:xm="http://schemas.microsoft.com/office/excel/2006/main">
          <x14:cfRule type="expression" priority="24" id="{46F0E7BF-FF7B-48C6-BA78-3BD3C437BCBC}">
            <xm:f>#REF!=Pudotusvalikot!$D$68</xm:f>
            <x14:dxf>
              <fill>
                <patternFill>
                  <bgColor theme="2" tint="0.59996337778862885"/>
                </patternFill>
              </fill>
            </x14:dxf>
          </x14:cfRule>
          <xm:sqref>L229</xm:sqref>
        </x14:conditionalFormatting>
        <x14:conditionalFormatting xmlns:xm="http://schemas.microsoft.com/office/excel/2006/main">
          <x14:cfRule type="expression" priority="22" id="{22C84017-8B62-4F28-93A9-FE76595687AF}">
            <xm:f>$C$47=Pudotusvalikot!$D$68</xm:f>
            <x14:dxf>
              <fill>
                <patternFill>
                  <bgColor theme="2" tint="0.59996337778862885"/>
                </patternFill>
              </fill>
            </x14:dxf>
          </x14:cfRule>
          <xm:sqref>L230</xm:sqref>
        </x14:conditionalFormatting>
        <x14:conditionalFormatting xmlns:xm="http://schemas.microsoft.com/office/excel/2006/main">
          <x14:cfRule type="expression" priority="19" id="{75F5A92C-634E-44B9-8A5E-56E2B2097289}">
            <xm:f>$C$56=Pudotusvalikot!$D$68</xm:f>
            <x14:dxf>
              <fill>
                <patternFill>
                  <bgColor theme="2" tint="0.59996337778862885"/>
                </patternFill>
              </fill>
            </x14:dxf>
          </x14:cfRule>
          <xm:sqref>L233 L237 L315:L316 L324</xm:sqref>
        </x14:conditionalFormatting>
        <x14:conditionalFormatting xmlns:xm="http://schemas.microsoft.com/office/excel/2006/main">
          <x14:cfRule type="expression" priority="20" id="{BCD21672-53B3-48F8-AA05-24947D770061}">
            <xm:f>$C$56=Pudotusvalikot!$D$68</xm:f>
            <x14:dxf>
              <fill>
                <patternFill>
                  <bgColor theme="2" tint="0.59996337778862885"/>
                </patternFill>
              </fill>
            </x14:dxf>
          </x14:cfRule>
          <xm:sqref>L235</xm:sqref>
        </x14:conditionalFormatting>
        <x14:conditionalFormatting xmlns:xm="http://schemas.microsoft.com/office/excel/2006/main">
          <x14:cfRule type="expression" priority="18" id="{ECAE08D6-D0B3-4B4C-A3B0-68E2EC73419B}">
            <xm:f>$C$48=Pudotusvalikot!$D$68</xm:f>
            <x14:dxf>
              <fill>
                <patternFill>
                  <bgColor theme="2" tint="0.59996337778862885"/>
                </patternFill>
              </fill>
            </x14:dxf>
          </x14:cfRule>
          <xm:sqref>L238</xm:sqref>
        </x14:conditionalFormatting>
        <x14:conditionalFormatting xmlns:xm="http://schemas.microsoft.com/office/excel/2006/main">
          <x14:cfRule type="expression" priority="17" id="{6C95DBCB-202E-4ACD-8600-8A5145E07968}">
            <xm:f>#REF!=Pudotusvalikot!$D$68</xm:f>
            <x14:dxf>
              <fill>
                <patternFill>
                  <bgColor theme="2" tint="0.59996337778862885"/>
                </patternFill>
              </fill>
            </x14:dxf>
          </x14:cfRule>
          <xm:sqref>L246 L250 L254</xm:sqref>
        </x14:conditionalFormatting>
        <x14:conditionalFormatting xmlns:xm="http://schemas.microsoft.com/office/excel/2006/main">
          <x14:cfRule type="expression" priority="10" id="{15917285-00BC-4392-BF99-9186D0AE1531}">
            <xm:f>$C$56=Pudotusvalikot!$D$68</xm:f>
            <x14:dxf>
              <fill>
                <patternFill>
                  <bgColor theme="2" tint="0.59996337778862885"/>
                </patternFill>
              </fill>
            </x14:dxf>
          </x14:cfRule>
          <xm:sqref>L292</xm:sqref>
        </x14:conditionalFormatting>
        <x14:conditionalFormatting xmlns:xm="http://schemas.microsoft.com/office/excel/2006/main">
          <x14:cfRule type="expression" priority="4" id="{A5532658-0D0D-4B86-8B4A-99C3BE5BCBF4}">
            <xm:f>$C$56=Pudotusvalikot!$D$68</xm:f>
            <x14:dxf>
              <fill>
                <patternFill>
                  <bgColor theme="2" tint="0.59996337778862885"/>
                </patternFill>
              </fill>
            </x14:dxf>
          </x14:cfRule>
          <xm:sqref>L295:L309</xm:sqref>
        </x14:conditionalFormatting>
        <x14:conditionalFormatting xmlns:xm="http://schemas.microsoft.com/office/excel/2006/main">
          <x14:cfRule type="expression" priority="9" id="{2094BA6A-7E0D-4369-9235-BB8084C635E5}">
            <xm:f>$C$56=Pudotusvalikot!$D$68</xm:f>
            <x14:dxf>
              <fill>
                <patternFill>
                  <bgColor theme="2" tint="0.59996337778862885"/>
                </patternFill>
              </fill>
            </x14:dxf>
          </x14:cfRule>
          <xm:sqref>L313</xm:sqref>
        </x14:conditionalFormatting>
        <x14:conditionalFormatting xmlns:xm="http://schemas.microsoft.com/office/excel/2006/main">
          <x14:cfRule type="expression" priority="3" id="{D4683104-5621-4AA3-8A4D-690C885C8018}">
            <xm:f>$C$56=Pudotusvalikot!$D$68</xm:f>
            <x14:dxf>
              <fill>
                <patternFill>
                  <bgColor theme="2" tint="0.59996337778862885"/>
                </patternFill>
              </fill>
            </x14:dxf>
          </x14:cfRule>
          <xm:sqref>L322</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8DA5DEA4-E488-4AB8-832B-370D6EAE0070}">
          <x14:formula1>
            <xm:f>Pudotusvalikot!$T$3:$T$7</xm:f>
          </x14:formula1>
          <xm:sqref>D200 D212 D225</xm:sqref>
        </x14:dataValidation>
        <x14:dataValidation type="list" allowBlank="1" showInputMessage="1" showErrorMessage="1" xr:uid="{61DB09C1-FE51-452B-9C18-C29BCB2B8491}">
          <x14:formula1>
            <xm:f>Pudotusvalikot!$D$14:$D$65</xm:f>
          </x14:formula1>
          <xm:sqref>C117 C262 C267 C272 C277 C282 C102 C107 C112 C188 C11 C21 C16 C156 C180 C172 C62 C67 C72 C77 C57 C164 C97</xm:sqref>
        </x14:dataValidation>
        <x14:dataValidation type="list" errorStyle="warning" allowBlank="1" showInputMessage="1" showErrorMessage="1" xr:uid="{0A4673F9-EABB-47DB-AC44-7B7A51509288}">
          <x14:formula1>
            <xm:f>Pudotusvalikot!$B$3:$B$5</xm:f>
          </x14:formula1>
          <xm:sqref>C26 C81 C121 C285:C287</xm:sqref>
        </x14:dataValidation>
        <x14:dataValidation type="list" allowBlank="1" showInputMessage="1" showErrorMessage="1" xr:uid="{120C47B6-C0A9-4DE5-81F3-55796BDB04DD}">
          <x14:formula1>
            <xm:f>Pudotusvalikot!$D$67:$D$92</xm:f>
          </x14:formula1>
          <xm:sqref>C250 C254 C246</xm:sqref>
        </x14:dataValidation>
        <x14:dataValidation type="list" allowBlank="1" showInputMessage="1" showErrorMessage="1" xr:uid="{89E459E4-279F-452B-B7AD-CC0EA1672773}">
          <x14:formula1>
            <xm:f>Pudotusvalikot!$D$67:$D$106</xm:f>
          </x14:formula1>
          <xm:sqref>C40 C126 C48 C44</xm:sqref>
        </x14:dataValidation>
        <x14:dataValidation type="list" allowBlank="1" showInputMessage="1" showErrorMessage="1" xr:uid="{2A47DC67-4D52-4AB4-ADC4-C614DD8CC8A6}">
          <x14:formula1>
            <xm:f>Pudotusvalikot!$N$3:$N$7</xm:f>
          </x14:formula1>
          <xm:sqref>C158:C160 C166:C168 C182:C184 C174:C176 C190:C192</xm:sqref>
        </x14:dataValidation>
        <x14:dataValidation type="list" allowBlank="1" showInputMessage="1" showErrorMessage="1" xr:uid="{3F2EA8E8-FBE3-4F22-A011-328C2FD83535}">
          <x14:formula1>
            <xm:f>Pudotusvalikot!$F$3:$F$7</xm:f>
          </x14:formula1>
          <xm:sqref>D56 D85:F89 D61 D71 D76 F61 F56 F66 D66 D281 D266 D271 D261 D276</xm:sqref>
        </x14:dataValidation>
        <x14:dataValidation type="list" allowBlank="1" showInputMessage="1" showErrorMessage="1" xr:uid="{24581DC7-A80F-41DF-82D4-7AB81A2EC1C7}">
          <x14:formula1>
            <xm:f>Pudotusvalikot!$V$3:$V$9</xm:f>
          </x14:formula1>
          <xm:sqref>C12 C17 C22 C31 C33 C35 C41 C45 C49 C58 C63 C68 C73 C78 C98 C103 C108 C113 C118 C157 C165 C173 C181 C189 C247 C251 C255 C263 C268 C273 C278 C283 C314 C293 C127</xm:sqref>
        </x14:dataValidation>
        <x14:dataValidation type="list" allowBlank="1" showInputMessage="1" showErrorMessage="1" xr:uid="{41C44DBE-C002-40FA-A1BA-31221DD6B236}">
          <x14:formula1>
            <xm:f>Pudotusvalikot!$X$3:$X$7</xm:f>
          </x14:formula1>
          <xm:sqref>D202 D214 D227</xm:sqref>
        </x14:dataValidation>
        <x14:dataValidation type="list" allowBlank="1" showInputMessage="1" showErrorMessage="1" xr:uid="{9D4C7B02-1E14-4806-A889-3439AAF9F3F5}">
          <x14:formula1>
            <xm:f>Pudotusvalikot!$H$3:$H$8</xm:f>
          </x14:formula1>
          <xm:sqref>D128</xm:sqref>
        </x14:dataValidation>
        <x14:dataValidation type="list" allowBlank="1" showInputMessage="1" showErrorMessage="1" xr:uid="{B1712995-6DA1-47C5-A700-5EBE738DCFDC}">
          <x14:formula1>
            <xm:f>Pudotusvalikot!$V$3:$V$7</xm:f>
          </x14:formula1>
          <xm:sqref>C198 C210 C223</xm:sqref>
        </x14:dataValidation>
        <x14:dataValidation type="list" allowBlank="1" showInputMessage="1" showErrorMessage="1" xr:uid="{97A10226-71E0-4BC1-BCD5-7F5F617F1170}">
          <x14:formula1>
            <xm:f>Pudotusvalikot!$J$3:$J$11</xm:f>
          </x14:formula1>
          <xm:sqref>C237 C324</xm:sqref>
        </x14:dataValidation>
        <x14:dataValidation type="list" allowBlank="1" showInputMessage="1" showErrorMessage="1" xr:uid="{3DA95633-822C-4E35-BCAF-F01383DDA91E}">
          <x14:formula1>
            <xm:f>Pudotusvalikot!$J$14:$J$33</xm:f>
          </x14:formula1>
          <xm:sqref>C133:D133 C136:D136 C139:D139 C142:D142 C145:D145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D37E0-ED38-48DF-8D47-9284E7BD7497}">
  <sheetPr codeName="Sheet7">
    <tabColor theme="5" tint="0.79998168889431442"/>
  </sheetPr>
  <dimension ref="A1:BG481"/>
  <sheetViews>
    <sheetView zoomScale="85" zoomScaleNormal="85" workbookViewId="0">
      <pane xSplit="1" ySplit="5" topLeftCell="B6" activePane="bottomRight" state="frozen"/>
      <selection pane="topRight" activeCell="B1" sqref="B1"/>
      <selection pane="bottomLeft" activeCell="A6" sqref="A6"/>
      <selection pane="bottomRight" activeCell="C4" sqref="C4"/>
    </sheetView>
  </sheetViews>
  <sheetFormatPr defaultColWidth="9" defaultRowHeight="13.9" customHeight="1" x14ac:dyDescent="0.2"/>
  <cols>
    <col min="1" max="1" width="2.75" style="5" customWidth="1"/>
    <col min="2" max="2" width="92.375" style="5" customWidth="1"/>
    <col min="3" max="3" width="20.75" style="12" customWidth="1"/>
    <col min="4" max="4" width="12.75" style="84" bestFit="1" customWidth="1"/>
    <col min="5" max="5" width="2.25" style="5" customWidth="1"/>
    <col min="6" max="6" width="3.75" style="5" customWidth="1"/>
    <col min="7" max="7" width="20.75" style="12" customWidth="1"/>
    <col min="8" max="8" width="8.75" style="5" customWidth="1"/>
    <col min="9" max="9" width="12.375" style="5" customWidth="1"/>
    <col min="10" max="10" width="60.75" style="14" customWidth="1"/>
    <col min="11" max="12" width="15.75" style="12" customWidth="1"/>
    <col min="13" max="13" width="11" style="12" bestFit="1" customWidth="1"/>
    <col min="14" max="14" width="2.625" style="12" customWidth="1"/>
    <col min="15" max="15" width="80.625" style="12" customWidth="1"/>
    <col min="16" max="16" width="2.75" style="5" customWidth="1"/>
    <col min="17" max="17" width="2.75" style="138" customWidth="1"/>
    <col min="18" max="18" width="15.75" style="139" customWidth="1"/>
    <col min="19" max="19" width="15.75" style="140" customWidth="1"/>
    <col min="20" max="20" width="26.875" style="22" bestFit="1" customWidth="1"/>
    <col min="21" max="37" width="25.75" style="21" customWidth="1"/>
    <col min="38" max="39" width="15.75" style="21" customWidth="1"/>
    <col min="40" max="41" width="9" style="21"/>
    <col min="42" max="59" width="9" style="22"/>
    <col min="60" max="16384" width="9" style="5"/>
  </cols>
  <sheetData>
    <row r="1" spans="2:59" s="30" customFormat="1" ht="15" x14ac:dyDescent="0.2">
      <c r="C1" s="33"/>
      <c r="D1" s="81"/>
      <c r="G1" s="33"/>
      <c r="J1" s="32"/>
      <c r="K1" s="33"/>
      <c r="L1" s="33"/>
      <c r="M1" s="33"/>
      <c r="N1" s="33"/>
      <c r="O1" s="33"/>
      <c r="Q1" s="129"/>
      <c r="R1" s="94"/>
      <c r="S1" s="104"/>
      <c r="T1" s="36"/>
      <c r="U1" s="35"/>
      <c r="V1" s="35"/>
      <c r="W1" s="35"/>
      <c r="X1" s="35"/>
      <c r="Y1" s="35"/>
      <c r="Z1" s="35"/>
      <c r="AA1" s="35"/>
      <c r="AB1" s="35"/>
      <c r="AC1" s="35"/>
      <c r="AD1" s="35"/>
      <c r="AE1" s="35"/>
      <c r="AF1" s="35"/>
      <c r="AG1" s="35"/>
      <c r="AH1" s="35"/>
      <c r="AI1" s="35"/>
      <c r="AJ1" s="35"/>
      <c r="AK1" s="35"/>
      <c r="AL1" s="35"/>
      <c r="AM1" s="35"/>
      <c r="AN1" s="35"/>
      <c r="AO1" s="35"/>
      <c r="AP1" s="36"/>
      <c r="AQ1" s="36"/>
      <c r="AR1" s="36"/>
      <c r="AS1" s="36"/>
      <c r="AT1" s="36"/>
      <c r="AU1" s="36"/>
      <c r="AV1" s="36"/>
      <c r="AW1" s="36"/>
      <c r="AX1" s="36"/>
      <c r="AY1" s="36"/>
      <c r="AZ1" s="36"/>
      <c r="BA1" s="36"/>
      <c r="BB1" s="36"/>
      <c r="BC1" s="36"/>
      <c r="BD1" s="36"/>
      <c r="BE1" s="36"/>
      <c r="BF1" s="36"/>
      <c r="BG1" s="36"/>
    </row>
    <row r="2" spans="2:59" s="24" customFormat="1" ht="30" x14ac:dyDescent="0.2">
      <c r="B2" s="7" t="s">
        <v>57</v>
      </c>
      <c r="C2" s="364"/>
      <c r="D2" s="365"/>
      <c r="E2" s="366"/>
      <c r="F2" s="367" t="s">
        <v>583</v>
      </c>
      <c r="G2" s="368" t="str">
        <f>IF(ISNUMBER(C4),U472,"")</f>
        <v/>
      </c>
      <c r="H2" s="369" t="s">
        <v>160</v>
      </c>
      <c r="J2" s="25"/>
      <c r="K2" s="26"/>
      <c r="L2" s="26"/>
      <c r="M2" s="26"/>
      <c r="N2" s="26"/>
      <c r="O2" s="26"/>
      <c r="Q2" s="135"/>
      <c r="R2" s="136"/>
      <c r="S2" s="137"/>
      <c r="T2" s="29"/>
      <c r="U2" s="28"/>
      <c r="V2" s="28"/>
      <c r="W2" s="28"/>
      <c r="X2" s="28"/>
      <c r="Y2" s="28"/>
      <c r="Z2" s="28"/>
      <c r="AA2" s="28"/>
      <c r="AB2" s="28"/>
      <c r="AC2" s="28"/>
      <c r="AD2" s="28"/>
      <c r="AE2" s="28"/>
      <c r="AF2" s="28"/>
      <c r="AG2" s="28"/>
      <c r="AH2" s="28"/>
      <c r="AI2" s="28"/>
      <c r="AJ2" s="28"/>
      <c r="AK2" s="28"/>
      <c r="AL2" s="28"/>
      <c r="AM2" s="28"/>
      <c r="AN2" s="28"/>
      <c r="AO2" s="28"/>
      <c r="AP2" s="29"/>
      <c r="AQ2" s="29"/>
      <c r="AR2" s="29"/>
      <c r="AS2" s="29"/>
      <c r="AT2" s="29"/>
      <c r="AU2" s="29"/>
      <c r="AV2" s="29"/>
      <c r="AW2" s="29"/>
      <c r="AX2" s="29"/>
      <c r="AY2" s="29"/>
      <c r="AZ2" s="29"/>
      <c r="BA2" s="29"/>
      <c r="BB2" s="29"/>
      <c r="BC2" s="29"/>
      <c r="BD2" s="29"/>
      <c r="BE2" s="29"/>
      <c r="BF2" s="29"/>
      <c r="BG2" s="29"/>
    </row>
    <row r="3" spans="2:59" s="30" customFormat="1" ht="15" x14ac:dyDescent="0.2">
      <c r="C3" s="33"/>
      <c r="D3" s="81"/>
      <c r="G3" s="33"/>
      <c r="J3" s="32"/>
      <c r="K3" s="33"/>
      <c r="L3" s="33"/>
      <c r="M3" s="33"/>
      <c r="N3" s="33"/>
      <c r="O3" s="33"/>
      <c r="Q3" s="129"/>
      <c r="R3" s="94"/>
      <c r="S3" s="104"/>
      <c r="T3" s="36"/>
      <c r="U3" s="35"/>
      <c r="V3" s="35"/>
      <c r="W3" s="35"/>
      <c r="X3" s="35"/>
      <c r="Y3" s="35"/>
      <c r="Z3" s="35"/>
      <c r="AA3" s="35"/>
      <c r="AB3" s="35"/>
      <c r="AC3" s="35"/>
      <c r="AD3" s="35"/>
      <c r="AE3" s="35"/>
      <c r="AF3" s="35"/>
      <c r="AG3" s="35"/>
      <c r="AH3" s="35"/>
      <c r="AI3" s="35"/>
      <c r="AJ3" s="35"/>
      <c r="AK3" s="35"/>
      <c r="AL3" s="35"/>
      <c r="AM3" s="35"/>
      <c r="AN3" s="35"/>
      <c r="AO3" s="35"/>
      <c r="AP3" s="36"/>
      <c r="AQ3" s="36"/>
      <c r="AR3" s="36"/>
      <c r="AS3" s="36"/>
      <c r="AT3" s="36"/>
      <c r="AU3" s="36"/>
      <c r="AV3" s="36"/>
      <c r="AW3" s="36"/>
      <c r="AX3" s="36"/>
      <c r="AY3" s="36"/>
      <c r="AZ3" s="36"/>
      <c r="BA3" s="36"/>
      <c r="BB3" s="36"/>
      <c r="BC3" s="36"/>
      <c r="BD3" s="36"/>
      <c r="BE3" s="36"/>
      <c r="BF3" s="36"/>
      <c r="BG3" s="36"/>
    </row>
    <row r="4" spans="2:59" s="30" customFormat="1" ht="24.95" customHeight="1" x14ac:dyDescent="0.2">
      <c r="B4" s="79" t="s">
        <v>681</v>
      </c>
      <c r="C4" s="150"/>
      <c r="D4" s="81" t="str">
        <f>IF(ISBLANK(C4),"%","")</f>
        <v>%</v>
      </c>
      <c r="G4" s="171" t="str">
        <f>IF(ISNUMBER(C4),C4*'Kohdetiedot ja yhteenveto'!D12,"")</f>
        <v/>
      </c>
      <c r="H4" s="30" t="s">
        <v>163</v>
      </c>
      <c r="J4" s="32"/>
      <c r="K4" s="33"/>
      <c r="L4" s="33"/>
      <c r="M4" s="33"/>
      <c r="N4" s="33"/>
      <c r="O4" s="33"/>
      <c r="Q4" s="129"/>
      <c r="R4" s="94"/>
      <c r="S4" s="104"/>
      <c r="T4" s="36"/>
      <c r="U4" s="35"/>
      <c r="V4" s="35"/>
      <c r="W4" s="35"/>
      <c r="X4" s="35"/>
      <c r="Y4" s="35"/>
      <c r="Z4" s="35"/>
      <c r="AA4" s="35"/>
      <c r="AB4" s="35"/>
      <c r="AC4" s="35"/>
      <c r="AD4" s="35"/>
      <c r="AE4" s="35"/>
      <c r="AF4" s="35"/>
      <c r="AG4" s="35"/>
      <c r="AH4" s="35"/>
      <c r="AI4" s="35"/>
      <c r="AJ4" s="35"/>
      <c r="AK4" s="35"/>
      <c r="AL4" s="35"/>
      <c r="AM4" s="35"/>
      <c r="AN4" s="35"/>
      <c r="AO4" s="35"/>
      <c r="AP4" s="36"/>
      <c r="AQ4" s="36"/>
      <c r="AR4" s="36"/>
      <c r="AS4" s="36"/>
      <c r="AT4" s="36"/>
      <c r="AU4" s="36"/>
      <c r="AV4" s="36"/>
      <c r="AW4" s="36"/>
      <c r="AX4" s="36"/>
      <c r="AY4" s="36"/>
      <c r="AZ4" s="36"/>
      <c r="BA4" s="36"/>
      <c r="BB4" s="36"/>
      <c r="BC4" s="36"/>
      <c r="BD4" s="36"/>
      <c r="BE4" s="36"/>
      <c r="BF4" s="36"/>
      <c r="BG4" s="36"/>
    </row>
    <row r="5" spans="2:59" s="30" customFormat="1" ht="15" x14ac:dyDescent="0.2">
      <c r="C5" s="33"/>
      <c r="D5" s="81"/>
      <c r="G5" s="33"/>
      <c r="H5" s="81"/>
      <c r="J5" s="32"/>
      <c r="P5" s="67"/>
      <c r="Q5" s="104"/>
      <c r="R5" s="94"/>
      <c r="S5" s="104"/>
      <c r="T5" s="36"/>
      <c r="U5" s="35"/>
      <c r="V5" s="35"/>
      <c r="W5" s="35"/>
      <c r="X5" s="35"/>
      <c r="Y5" s="35"/>
      <c r="Z5" s="35"/>
      <c r="AA5" s="35"/>
      <c r="AB5" s="35"/>
      <c r="AC5" s="35"/>
      <c r="AD5" s="35"/>
      <c r="AE5" s="35"/>
      <c r="AF5" s="35"/>
      <c r="AG5" s="35"/>
      <c r="AH5" s="35"/>
      <c r="AI5" s="35"/>
      <c r="AJ5" s="35"/>
      <c r="AK5" s="35"/>
      <c r="AL5" s="35"/>
      <c r="AM5" s="35"/>
      <c r="AN5" s="35"/>
      <c r="AO5" s="35"/>
      <c r="AP5" s="36"/>
      <c r="AQ5" s="36"/>
      <c r="AR5" s="36"/>
      <c r="AS5" s="36"/>
      <c r="AT5" s="36"/>
      <c r="AU5" s="36"/>
      <c r="AV5" s="36"/>
      <c r="AW5" s="36"/>
      <c r="AX5" s="36"/>
      <c r="AY5" s="36"/>
      <c r="AZ5" s="36"/>
      <c r="BA5" s="36"/>
      <c r="BB5" s="36"/>
      <c r="BC5" s="36"/>
      <c r="BD5" s="36"/>
      <c r="BE5" s="36"/>
      <c r="BF5" s="36"/>
      <c r="BG5" s="36"/>
    </row>
    <row r="6" spans="2:59" s="192" customFormat="1" ht="23.25" x14ac:dyDescent="0.2">
      <c r="B6" s="193" t="s">
        <v>555</v>
      </c>
      <c r="C6" s="194"/>
      <c r="D6" s="195"/>
      <c r="G6" s="194"/>
      <c r="H6" s="195"/>
      <c r="J6" s="196"/>
      <c r="P6" s="197"/>
      <c r="Q6" s="198"/>
      <c r="R6" s="199"/>
      <c r="S6" s="198"/>
      <c r="T6" s="200"/>
      <c r="U6" s="201"/>
      <c r="V6" s="201"/>
      <c r="W6" s="201"/>
      <c r="X6" s="201"/>
      <c r="Y6" s="201"/>
      <c r="Z6" s="201"/>
      <c r="AA6" s="201"/>
      <c r="AB6" s="201"/>
      <c r="AC6" s="201"/>
      <c r="AD6" s="201"/>
      <c r="AE6" s="201"/>
      <c r="AF6" s="201"/>
      <c r="AG6" s="201"/>
      <c r="AH6" s="201"/>
      <c r="AI6" s="201"/>
      <c r="AJ6" s="201"/>
      <c r="AK6" s="201"/>
      <c r="AL6" s="201"/>
      <c r="AM6" s="201"/>
      <c r="AN6" s="201"/>
      <c r="AO6" s="201"/>
      <c r="AP6" s="200"/>
      <c r="AQ6" s="200"/>
      <c r="AR6" s="200"/>
      <c r="AS6" s="200"/>
      <c r="AT6" s="200"/>
      <c r="AU6" s="200"/>
      <c r="AV6" s="200"/>
      <c r="AW6" s="200"/>
      <c r="AX6" s="200"/>
      <c r="AY6" s="200"/>
      <c r="AZ6" s="200"/>
      <c r="BA6" s="200"/>
      <c r="BB6" s="200"/>
      <c r="BC6" s="200"/>
      <c r="BD6" s="200"/>
      <c r="BE6" s="200"/>
      <c r="BF6" s="200"/>
      <c r="BG6" s="200"/>
    </row>
    <row r="7" spans="2:59" s="30" customFormat="1" ht="15" x14ac:dyDescent="0.2">
      <c r="C7" s="33"/>
      <c r="D7" s="81"/>
      <c r="G7" s="33"/>
      <c r="J7" s="32"/>
      <c r="K7" s="33"/>
      <c r="L7" s="33"/>
      <c r="M7" s="33"/>
      <c r="N7" s="33"/>
      <c r="O7" s="33"/>
      <c r="Q7" s="129"/>
      <c r="R7" s="94"/>
      <c r="S7" s="104"/>
      <c r="T7" s="36"/>
      <c r="U7" s="35"/>
      <c r="V7" s="35"/>
      <c r="W7" s="35"/>
      <c r="X7" s="35"/>
      <c r="Y7" s="35"/>
      <c r="Z7" s="35"/>
      <c r="AA7" s="35"/>
      <c r="AB7" s="35"/>
      <c r="AC7" s="35"/>
      <c r="AD7" s="35"/>
      <c r="AE7" s="35"/>
      <c r="AF7" s="35"/>
      <c r="AG7" s="35"/>
      <c r="AH7" s="35"/>
      <c r="AI7" s="35"/>
      <c r="AJ7" s="35"/>
      <c r="AK7" s="35"/>
      <c r="AL7" s="35"/>
      <c r="AM7" s="35"/>
      <c r="AN7" s="35"/>
      <c r="AO7" s="35"/>
      <c r="AP7" s="36"/>
      <c r="AQ7" s="36"/>
      <c r="AR7" s="36"/>
      <c r="AS7" s="36"/>
      <c r="AT7" s="36"/>
      <c r="AU7" s="36"/>
      <c r="AV7" s="36"/>
      <c r="AW7" s="36"/>
      <c r="AX7" s="36"/>
      <c r="AY7" s="36"/>
      <c r="AZ7" s="36"/>
      <c r="BA7" s="36"/>
      <c r="BB7" s="36"/>
      <c r="BC7" s="36"/>
      <c r="BD7" s="36"/>
      <c r="BE7" s="36"/>
      <c r="BF7" s="36"/>
      <c r="BG7" s="36"/>
    </row>
    <row r="8" spans="2:59" s="289" customFormat="1" ht="18" x14ac:dyDescent="0.2">
      <c r="B8" s="286" t="s">
        <v>437</v>
      </c>
      <c r="C8" s="287"/>
      <c r="D8" s="288"/>
      <c r="G8" s="287"/>
      <c r="H8" s="288"/>
      <c r="K8" s="287"/>
      <c r="L8" s="287"/>
      <c r="M8" s="288"/>
      <c r="N8" s="288"/>
      <c r="O8" s="291"/>
      <c r="P8" s="311"/>
      <c r="Q8" s="295"/>
      <c r="S8" s="294"/>
      <c r="T8" s="294"/>
      <c r="U8" s="294"/>
      <c r="V8" s="294"/>
      <c r="W8" s="294"/>
      <c r="X8" s="294"/>
      <c r="Y8" s="294"/>
      <c r="Z8" s="294"/>
      <c r="AA8" s="294"/>
      <c r="AB8" s="294"/>
      <c r="AC8" s="294"/>
      <c r="AD8" s="294"/>
      <c r="AE8" s="294"/>
      <c r="AF8" s="294"/>
      <c r="AG8" s="294"/>
      <c r="AH8" s="294"/>
      <c r="AI8" s="294"/>
      <c r="AJ8" s="294"/>
      <c r="AK8" s="294"/>
      <c r="AL8" s="294"/>
      <c r="AM8" s="294"/>
      <c r="AN8" s="295"/>
      <c r="AO8" s="295"/>
      <c r="AP8" s="295"/>
      <c r="AQ8" s="295"/>
      <c r="AR8" s="295"/>
      <c r="AS8" s="295"/>
      <c r="AT8" s="295"/>
      <c r="AU8" s="295"/>
      <c r="AV8" s="295"/>
      <c r="AW8" s="295"/>
      <c r="AX8" s="295"/>
      <c r="AY8" s="295"/>
      <c r="AZ8" s="295"/>
      <c r="BA8" s="295"/>
      <c r="BB8" s="295"/>
      <c r="BC8" s="295"/>
      <c r="BD8" s="295"/>
      <c r="BE8" s="295"/>
    </row>
    <row r="9" spans="2:59" s="30" customFormat="1" ht="15.75" x14ac:dyDescent="0.2">
      <c r="B9" s="8"/>
      <c r="C9" s="33"/>
      <c r="D9" s="81"/>
      <c r="G9" s="33"/>
      <c r="H9" s="81"/>
      <c r="K9" s="37"/>
      <c r="L9" s="37"/>
      <c r="M9" s="81"/>
      <c r="N9" s="81"/>
      <c r="O9" s="249" t="s">
        <v>584</v>
      </c>
      <c r="Q9" s="34"/>
      <c r="R9" s="35" t="s">
        <v>318</v>
      </c>
      <c r="S9" s="35"/>
      <c r="T9" s="35"/>
      <c r="U9" s="35"/>
      <c r="V9" s="35"/>
      <c r="W9" s="35"/>
      <c r="X9" s="35"/>
      <c r="Y9" s="35"/>
      <c r="Z9" s="35"/>
      <c r="AA9" s="35"/>
      <c r="AB9" s="35"/>
      <c r="AC9" s="35"/>
      <c r="AD9" s="35"/>
      <c r="AE9" s="35"/>
      <c r="AF9" s="35"/>
      <c r="AG9" s="35"/>
      <c r="AH9" s="35"/>
      <c r="AI9" s="35"/>
      <c r="AJ9" s="35"/>
      <c r="AK9" s="35"/>
      <c r="AL9" s="35"/>
      <c r="AM9" s="35"/>
      <c r="AN9" s="36"/>
      <c r="AO9" s="36"/>
      <c r="AP9" s="36"/>
      <c r="AQ9" s="36"/>
      <c r="AR9" s="36"/>
      <c r="AS9" s="36"/>
      <c r="AT9" s="36"/>
      <c r="AU9" s="36"/>
      <c r="AV9" s="36"/>
      <c r="AW9" s="36"/>
      <c r="AX9" s="36"/>
      <c r="AY9" s="36"/>
      <c r="AZ9" s="36"/>
      <c r="BA9" s="36"/>
      <c r="BB9" s="36"/>
      <c r="BC9" s="36"/>
      <c r="BD9" s="36"/>
      <c r="BE9" s="36"/>
    </row>
    <row r="10" spans="2:59" s="30" customFormat="1" ht="15" x14ac:dyDescent="0.2">
      <c r="B10" s="168" t="s">
        <v>392</v>
      </c>
      <c r="C10" s="33"/>
      <c r="D10" s="81"/>
      <c r="G10" s="33"/>
      <c r="H10" s="81"/>
      <c r="K10" s="37" t="s">
        <v>297</v>
      </c>
      <c r="L10" s="37" t="s">
        <v>185</v>
      </c>
      <c r="M10" s="81"/>
      <c r="N10" s="81"/>
      <c r="O10" s="250"/>
      <c r="Q10" s="34"/>
      <c r="R10" s="35" t="s">
        <v>160</v>
      </c>
      <c r="S10" s="35"/>
      <c r="T10" s="35" t="s">
        <v>400</v>
      </c>
      <c r="U10" s="35" t="s">
        <v>399</v>
      </c>
      <c r="V10" s="35" t="s">
        <v>397</v>
      </c>
      <c r="W10" s="35" t="s">
        <v>398</v>
      </c>
      <c r="X10" s="35" t="s">
        <v>401</v>
      </c>
      <c r="Y10" s="35" t="s">
        <v>403</v>
      </c>
      <c r="Z10" s="35" t="s">
        <v>402</v>
      </c>
      <c r="AA10" s="35" t="s">
        <v>186</v>
      </c>
      <c r="AB10" s="35" t="s">
        <v>345</v>
      </c>
      <c r="AC10" s="35" t="s">
        <v>404</v>
      </c>
      <c r="AD10" s="35" t="s">
        <v>346</v>
      </c>
      <c r="AE10" s="35" t="s">
        <v>405</v>
      </c>
      <c r="AF10" s="35" t="s">
        <v>406</v>
      </c>
      <c r="AG10" s="35" t="s">
        <v>578</v>
      </c>
      <c r="AH10" s="35" t="s">
        <v>190</v>
      </c>
      <c r="AI10" s="35" t="s">
        <v>249</v>
      </c>
      <c r="AJ10" s="35" t="s">
        <v>191</v>
      </c>
      <c r="AK10" s="104"/>
      <c r="AL10" s="35"/>
      <c r="AM10" s="35"/>
      <c r="AN10" s="36"/>
      <c r="AO10" s="36"/>
      <c r="AP10" s="36"/>
      <c r="AQ10" s="36"/>
      <c r="AR10" s="36"/>
      <c r="AS10" s="36"/>
      <c r="AT10" s="36"/>
      <c r="AU10" s="36"/>
      <c r="AV10" s="36"/>
      <c r="AW10" s="36"/>
      <c r="AX10" s="36"/>
      <c r="AY10" s="36"/>
      <c r="AZ10" s="36"/>
      <c r="BA10" s="36"/>
      <c r="BB10" s="36"/>
      <c r="BC10" s="36"/>
      <c r="BD10" s="36"/>
      <c r="BE10" s="36"/>
    </row>
    <row r="11" spans="2:59" s="30" customFormat="1" ht="30" x14ac:dyDescent="0.2">
      <c r="B11" s="166" t="s">
        <v>455</v>
      </c>
      <c r="C11" s="471" t="s">
        <v>298</v>
      </c>
      <c r="D11" s="472"/>
      <c r="E11" s="472"/>
      <c r="F11" s="472"/>
      <c r="G11" s="473"/>
      <c r="H11" s="165"/>
      <c r="J11" s="169" t="s">
        <v>395</v>
      </c>
      <c r="K11" s="92" t="str">
        <f>IFERROR(IF(ISNUMBER(L11),L11,(VLOOKUP(C11,Kalusto!$C$45:$L$84,5,FALSE)*(VLOOKUP(C12,Muut!$D$40:$E$43,2,FALSE)))),"--")</f>
        <v>--</v>
      </c>
      <c r="L11" s="39"/>
      <c r="M11" s="40" t="s">
        <v>184</v>
      </c>
      <c r="N11" s="40"/>
      <c r="O11" s="259"/>
      <c r="Q11" s="45"/>
      <c r="R11" s="48" t="str">
        <f>IF(AND(NOT(ISNUMBER(AB11)),NOT(ISNUMBER(AG11))),"",IF(ISNUMBER(AB11),AB11,0)+IF(ISNUMBER(AG11),AG11,0))</f>
        <v/>
      </c>
      <c r="S11" s="98" t="s">
        <v>438</v>
      </c>
      <c r="T11" s="46" t="str">
        <f>IFERROR(IF(ISNUMBER(L11),"Kohdetieto",VLOOKUP(C11,Kalusto!$C$45:$L$84,7,FALSE)),"--")</f>
        <v>--</v>
      </c>
      <c r="U11" s="46" t="str">
        <f>IFERROR(IF(ISNUMBER(L11),"Kohdetieto",VLOOKUP(C11,Kalusto!$C$45:$L$84,8,FALSE)),"--")</f>
        <v>--</v>
      </c>
      <c r="V11" s="47" t="str">
        <f>IFERROR(IF(ISNUMBER(L11),"Kohdetieto",VLOOKUP(C11,Kalusto!$C$45:$L$84,9,FALSE)),"--")</f>
        <v>--</v>
      </c>
      <c r="W11" s="47" t="str">
        <f>IFERROR(IF(ISNUMBER(L11),"Kohdetieto",VLOOKUP(C11,Kalusto!$C$45:$L$84,10,FALSE)),"--")</f>
        <v>--</v>
      </c>
      <c r="X11" s="48" t="str">
        <f>IF(ISBLANK(C13),"",C13)</f>
        <v/>
      </c>
      <c r="Y11" s="46" t="str">
        <f>IF(ISNUMBER(C14),C14,"")</f>
        <v/>
      </c>
      <c r="Z11" s="48" t="str">
        <f>IF(ISNUMBER(X11/(U11*V11)*Y11),X11/(U11*V11)*Y11,"")</f>
        <v/>
      </c>
      <c r="AA11" s="49" t="str">
        <f>IF(ISNUMBER(L11),L11,K11)</f>
        <v>--</v>
      </c>
      <c r="AB11" s="48" t="str">
        <f>IF(ISNUMBER(Y11*X11*K11),Y11*X11*K11,"")</f>
        <v/>
      </c>
      <c r="AC11" s="48" t="str">
        <f>IF(C26="Kyllä",Y11,"")</f>
        <v/>
      </c>
      <c r="AD11" s="48" t="str">
        <f>IF(C26="Kyllä",IF(ISNUMBER(X11/(U11*V11)),CEILING(X11/(U11*V11),1),""),"")</f>
        <v/>
      </c>
      <c r="AE11" s="48" t="str">
        <f>IF(ISNUMBER(AD11*AC11),AD11*AC11,"")</f>
        <v/>
      </c>
      <c r="AF11" s="49" t="str">
        <f>IF(ISNUMBER(L13),L13,K13)</f>
        <v>--</v>
      </c>
      <c r="AG11" s="48" t="str">
        <f>IF(ISNUMBER(AC11*AD11*K13),AC11*AD11*K13,"")</f>
        <v/>
      </c>
      <c r="AH11" s="46">
        <f>IF(T11="Jakelukuorma-auto",0,IF(T11="Maansiirtoauto",4,IF(T11="Puoliperävaunu",6,8)))</f>
        <v>8</v>
      </c>
      <c r="AI11" s="46">
        <f>IF(AND(T11="Jakelukuorma-auto",U11=6),0,IF(AND(T11="Jakelukuorma-auto",U11=15),2,0))</f>
        <v>0</v>
      </c>
      <c r="AJ11" s="46">
        <f>IF(W11="maantieajo",0,1)</f>
        <v>1</v>
      </c>
      <c r="AK11" s="104"/>
      <c r="AL11" s="35"/>
      <c r="AM11" s="35"/>
      <c r="AN11" s="36"/>
      <c r="AO11" s="36"/>
      <c r="AP11" s="36"/>
      <c r="AQ11" s="36"/>
      <c r="AR11" s="36"/>
      <c r="AS11" s="36"/>
      <c r="AT11" s="36"/>
      <c r="AU11" s="36"/>
      <c r="AV11" s="36"/>
      <c r="AW11" s="36"/>
      <c r="AX11" s="36"/>
      <c r="AY11" s="36"/>
      <c r="AZ11" s="36"/>
      <c r="BA11" s="36"/>
      <c r="BB11" s="36"/>
      <c r="BC11" s="36"/>
      <c r="BD11" s="36"/>
      <c r="BE11" s="36"/>
    </row>
    <row r="12" spans="2:59" s="30" customFormat="1" ht="15" x14ac:dyDescent="0.2">
      <c r="B12" s="182" t="s">
        <v>457</v>
      </c>
      <c r="C12" s="156" t="s">
        <v>309</v>
      </c>
      <c r="D12" s="33"/>
      <c r="E12" s="33"/>
      <c r="F12" s="33"/>
      <c r="G12" s="33"/>
      <c r="H12" s="57"/>
      <c r="J12" s="169"/>
      <c r="K12" s="169"/>
      <c r="L12" s="169"/>
      <c r="M12" s="40"/>
      <c r="N12" s="40"/>
      <c r="O12" s="259"/>
      <c r="Q12" s="45"/>
      <c r="R12" s="35"/>
      <c r="S12" s="35"/>
      <c r="T12" s="35"/>
      <c r="U12" s="35"/>
      <c r="V12" s="177"/>
      <c r="W12" s="177"/>
      <c r="X12" s="59"/>
      <c r="Y12" s="35"/>
      <c r="Z12" s="59"/>
      <c r="AA12" s="178"/>
      <c r="AB12" s="59"/>
      <c r="AC12" s="59"/>
      <c r="AD12" s="59"/>
      <c r="AE12" s="59"/>
      <c r="AF12" s="178"/>
      <c r="AG12" s="59"/>
      <c r="AH12" s="35"/>
      <c r="AI12" s="35"/>
      <c r="AJ12" s="35"/>
      <c r="AK12" s="104"/>
      <c r="AL12" s="35"/>
      <c r="AM12" s="35"/>
      <c r="AN12" s="36"/>
      <c r="AO12" s="36"/>
      <c r="AP12" s="36"/>
      <c r="AQ12" s="36"/>
      <c r="AR12" s="36"/>
      <c r="AS12" s="36"/>
      <c r="AT12" s="36"/>
      <c r="AU12" s="36"/>
      <c r="AV12" s="36"/>
      <c r="AW12" s="36"/>
      <c r="AX12" s="36"/>
      <c r="AY12" s="36"/>
      <c r="AZ12" s="36"/>
      <c r="BA12" s="36"/>
      <c r="BB12" s="36"/>
      <c r="BC12" s="36"/>
      <c r="BD12" s="36"/>
      <c r="BE12" s="36"/>
    </row>
    <row r="13" spans="2:59" s="30" customFormat="1" ht="15" x14ac:dyDescent="0.2">
      <c r="B13" s="44" t="s">
        <v>521</v>
      </c>
      <c r="C13" s="152"/>
      <c r="D13" s="81" t="s">
        <v>52</v>
      </c>
      <c r="G13" s="33"/>
      <c r="H13" s="81"/>
      <c r="J13" s="32" t="s">
        <v>396</v>
      </c>
      <c r="K13" s="92" t="str">
        <f>IFERROR(IF(ISNUMBER(L13),L13,IF($C$26="Ei","",(VLOOKUP(C11,Kalusto!$C$45:$V$84,19,FALSE)*(VLOOKUP(C12,Muut!$D$40:$E$43,2,FALSE))))),"--")</f>
        <v>--</v>
      </c>
      <c r="L13" s="39"/>
      <c r="M13" s="40" t="s">
        <v>188</v>
      </c>
      <c r="N13" s="40"/>
      <c r="O13" s="259"/>
      <c r="P13" s="33"/>
      <c r="Q13" s="50"/>
      <c r="R13" s="48" t="str">
        <f>IF(ISNUMBER(R11),R11,"")</f>
        <v/>
      </c>
      <c r="S13" s="98" t="s">
        <v>439</v>
      </c>
      <c r="T13" s="35"/>
      <c r="U13" s="35"/>
      <c r="V13" s="35"/>
      <c r="W13" s="35"/>
      <c r="X13" s="35"/>
      <c r="Y13" s="35"/>
      <c r="Z13" s="35"/>
      <c r="AA13" s="35"/>
      <c r="AB13" s="35"/>
      <c r="AC13" s="35"/>
      <c r="AD13" s="35"/>
      <c r="AE13" s="35"/>
      <c r="AF13" s="35"/>
      <c r="AG13" s="35"/>
      <c r="AH13" s="35"/>
      <c r="AI13" s="35"/>
      <c r="AJ13" s="35"/>
      <c r="AK13" s="104"/>
      <c r="AL13" s="35"/>
      <c r="AM13" s="35"/>
      <c r="AN13" s="36"/>
      <c r="AO13" s="36"/>
      <c r="AP13" s="36"/>
      <c r="AQ13" s="36"/>
      <c r="AR13" s="36"/>
      <c r="AS13" s="36"/>
      <c r="AT13" s="36"/>
      <c r="AU13" s="36"/>
      <c r="AV13" s="36"/>
      <c r="AW13" s="36"/>
      <c r="AX13" s="36"/>
      <c r="AY13" s="36"/>
      <c r="AZ13" s="36"/>
      <c r="BA13" s="36"/>
      <c r="BB13" s="36"/>
      <c r="BC13" s="36"/>
      <c r="BD13" s="36"/>
      <c r="BE13" s="36"/>
    </row>
    <row r="14" spans="2:59" s="30" customFormat="1" ht="15" x14ac:dyDescent="0.2">
      <c r="B14" s="44" t="s">
        <v>522</v>
      </c>
      <c r="C14" s="152"/>
      <c r="D14" s="81" t="s">
        <v>5</v>
      </c>
      <c r="G14" s="33"/>
      <c r="H14" s="81"/>
      <c r="I14" s="51"/>
      <c r="J14" s="51"/>
      <c r="K14" s="33"/>
      <c r="L14" s="33"/>
      <c r="M14" s="81"/>
      <c r="N14" s="81"/>
      <c r="O14" s="96"/>
      <c r="P14" s="51"/>
      <c r="Q14" s="50"/>
      <c r="R14" s="35" t="s">
        <v>318</v>
      </c>
      <c r="S14" s="36"/>
      <c r="T14" s="35"/>
      <c r="U14" s="35"/>
      <c r="V14" s="35"/>
      <c r="W14" s="35"/>
      <c r="X14" s="35"/>
      <c r="Y14" s="35"/>
      <c r="Z14" s="35"/>
      <c r="AA14" s="35"/>
      <c r="AB14" s="35"/>
      <c r="AC14" s="35"/>
      <c r="AD14" s="35"/>
      <c r="AE14" s="35"/>
      <c r="AF14" s="35"/>
      <c r="AG14" s="35"/>
      <c r="AH14" s="35"/>
      <c r="AI14" s="35"/>
      <c r="AJ14" s="35"/>
      <c r="AK14" s="104"/>
      <c r="AL14" s="35"/>
      <c r="AM14" s="35"/>
      <c r="AN14" s="36"/>
      <c r="AO14" s="36"/>
      <c r="AP14" s="36"/>
      <c r="AQ14" s="36"/>
      <c r="AR14" s="36"/>
      <c r="AS14" s="36"/>
      <c r="AT14" s="36"/>
      <c r="AU14" s="36"/>
      <c r="AV14" s="36"/>
      <c r="AW14" s="36"/>
      <c r="AX14" s="36"/>
      <c r="AY14" s="36"/>
      <c r="AZ14" s="36"/>
      <c r="BA14" s="36"/>
      <c r="BB14" s="36"/>
      <c r="BC14" s="36"/>
      <c r="BD14" s="36"/>
      <c r="BE14" s="36"/>
    </row>
    <row r="15" spans="2:59" s="30" customFormat="1" ht="15" x14ac:dyDescent="0.2">
      <c r="B15" s="168" t="s">
        <v>393</v>
      </c>
      <c r="C15" s="33"/>
      <c r="D15" s="81"/>
      <c r="G15" s="33"/>
      <c r="H15" s="81"/>
      <c r="J15" s="32"/>
      <c r="K15" s="37" t="s">
        <v>297</v>
      </c>
      <c r="L15" s="37" t="s">
        <v>185</v>
      </c>
      <c r="M15" s="81"/>
      <c r="N15" s="81"/>
      <c r="O15" s="96"/>
      <c r="P15" s="33"/>
      <c r="Q15" s="34"/>
      <c r="R15" s="35" t="s">
        <v>160</v>
      </c>
      <c r="S15" s="35"/>
      <c r="T15" s="35" t="s">
        <v>400</v>
      </c>
      <c r="U15" s="35" t="s">
        <v>399</v>
      </c>
      <c r="V15" s="35" t="s">
        <v>397</v>
      </c>
      <c r="W15" s="35" t="s">
        <v>398</v>
      </c>
      <c r="X15" s="35" t="s">
        <v>401</v>
      </c>
      <c r="Y15" s="35" t="s">
        <v>403</v>
      </c>
      <c r="Z15" s="35" t="s">
        <v>402</v>
      </c>
      <c r="AA15" s="35" t="s">
        <v>186</v>
      </c>
      <c r="AB15" s="35" t="s">
        <v>345</v>
      </c>
      <c r="AC15" s="35" t="s">
        <v>404</v>
      </c>
      <c r="AD15" s="35" t="s">
        <v>346</v>
      </c>
      <c r="AE15" s="35" t="s">
        <v>405</v>
      </c>
      <c r="AF15" s="35" t="s">
        <v>406</v>
      </c>
      <c r="AG15" s="35" t="s">
        <v>578</v>
      </c>
      <c r="AH15" s="35" t="s">
        <v>190</v>
      </c>
      <c r="AI15" s="35" t="s">
        <v>249</v>
      </c>
      <c r="AJ15" s="35" t="s">
        <v>191</v>
      </c>
      <c r="AK15" s="104"/>
      <c r="AL15" s="35"/>
      <c r="AM15" s="35"/>
      <c r="AN15" s="36"/>
      <c r="AO15" s="36"/>
      <c r="AP15" s="36"/>
      <c r="AQ15" s="36"/>
      <c r="AR15" s="36"/>
      <c r="AS15" s="36"/>
      <c r="AT15" s="36"/>
      <c r="AU15" s="36"/>
      <c r="AV15" s="36"/>
      <c r="AW15" s="36"/>
      <c r="AX15" s="36"/>
      <c r="AY15" s="36"/>
      <c r="AZ15" s="36"/>
      <c r="BA15" s="36"/>
      <c r="BB15" s="36"/>
      <c r="BC15" s="36"/>
      <c r="BD15" s="36"/>
      <c r="BE15" s="36"/>
    </row>
    <row r="16" spans="2:59" s="30" customFormat="1" ht="30" x14ac:dyDescent="0.2">
      <c r="B16" s="166" t="s">
        <v>455</v>
      </c>
      <c r="C16" s="471" t="s">
        <v>298</v>
      </c>
      <c r="D16" s="472"/>
      <c r="E16" s="472"/>
      <c r="F16" s="472"/>
      <c r="G16" s="473"/>
      <c r="H16" s="165"/>
      <c r="J16" s="169" t="s">
        <v>395</v>
      </c>
      <c r="K16" s="92" t="str">
        <f>IFERROR(IF(ISNUMBER(L16),L16,(VLOOKUP(C16,Kalusto!$C$45:$L$84,5,FALSE)*(VLOOKUP(C17,Muut!$D$40:$E$43,2,FALSE)))),"--")</f>
        <v>--</v>
      </c>
      <c r="L16" s="39"/>
      <c r="M16" s="40" t="s">
        <v>184</v>
      </c>
      <c r="N16" s="40"/>
      <c r="O16" s="259"/>
      <c r="Q16" s="45"/>
      <c r="R16" s="48" t="str">
        <f>IF(AND(NOT(ISNUMBER(AB16)),NOT(ISNUMBER(AG16))),"",IF(ISNUMBER(AB16),AB16,0)+IF(ISNUMBER(AG16),AG16,0))</f>
        <v/>
      </c>
      <c r="S16" s="98" t="s">
        <v>438</v>
      </c>
      <c r="T16" s="46" t="str">
        <f>IFERROR(IF(ISNUMBER(L16),"Kohdetieto",VLOOKUP(C16,Kalusto!$C$45:$L$84,7,FALSE)),"--")</f>
        <v>--</v>
      </c>
      <c r="U16" s="46" t="str">
        <f>IFERROR(IF(ISNUMBER(L16),"Kohdetieto",VLOOKUP(C16,Kalusto!$C$45:$L$84,8,FALSE)),"--")</f>
        <v>--</v>
      </c>
      <c r="V16" s="47" t="str">
        <f>IFERROR(IF(ISNUMBER(L16),"Kohdetieto",VLOOKUP(C16,Kalusto!$C$45:$L$84,9,FALSE)),"--")</f>
        <v>--</v>
      </c>
      <c r="W16" s="47" t="str">
        <f>IFERROR(IF(ISNUMBER(L16),"Kohdetieto",VLOOKUP(C16,Kalusto!$C$45:$L$84,10,FALSE)),"--")</f>
        <v>--</v>
      </c>
      <c r="X16" s="48" t="str">
        <f>IF(ISBLANK(C18),"",C18)</f>
        <v/>
      </c>
      <c r="Y16" s="46" t="str">
        <f>IF(ISNUMBER(C19),C19,"")</f>
        <v/>
      </c>
      <c r="Z16" s="48" t="str">
        <f>IF(ISNUMBER(X16/(U16*V16)*Y16),X16/(U16*V16)*Y16,"")</f>
        <v/>
      </c>
      <c r="AA16" s="49" t="str">
        <f>IF(ISNUMBER(L16),L16,K16)</f>
        <v>--</v>
      </c>
      <c r="AB16" s="48" t="str">
        <f>IF(ISNUMBER(Y16*X16*K16),Y16*X16*K16,"")</f>
        <v/>
      </c>
      <c r="AC16" s="48" t="str">
        <f>IF(C31="Kyllä",Y16,"")</f>
        <v/>
      </c>
      <c r="AD16" s="48" t="str">
        <f>IF(C31="Kyllä",IF(ISNUMBER(X16/(U16*V16)),CEILING(X16/(U16*V16),1),""),"")</f>
        <v/>
      </c>
      <c r="AE16" s="48" t="str">
        <f>IF(ISNUMBER(AD16*AC16),AD16*AC16,"")</f>
        <v/>
      </c>
      <c r="AF16" s="49" t="str">
        <f>IF(ISNUMBER(L18),L18,K18)</f>
        <v>--</v>
      </c>
      <c r="AG16" s="48" t="str">
        <f>IF(ISNUMBER(AC16*AD16*K18),AC16*AD16*K18,"")</f>
        <v/>
      </c>
      <c r="AH16" s="46">
        <f>IF(T16="Jakelukuorma-auto",0,IF(T16="Maansiirtoauto",4,IF(T16="Puoliperävaunu",6,8)))</f>
        <v>8</v>
      </c>
      <c r="AI16" s="46">
        <f>IF(AND(T16="Jakelukuorma-auto",U16=6),0,IF(AND(T16="Jakelukuorma-auto",U16=15),2,0))</f>
        <v>0</v>
      </c>
      <c r="AJ16" s="46">
        <f>IF(W16="maantieajo",0,1)</f>
        <v>1</v>
      </c>
      <c r="AK16" s="104"/>
      <c r="AL16" s="35"/>
      <c r="AM16" s="35"/>
      <c r="AN16" s="36"/>
      <c r="AO16" s="36"/>
      <c r="AP16" s="36"/>
      <c r="AQ16" s="36"/>
      <c r="AR16" s="36"/>
      <c r="AS16" s="36"/>
      <c r="AT16" s="36"/>
      <c r="AU16" s="36"/>
      <c r="AV16" s="36"/>
      <c r="AW16" s="36"/>
      <c r="AX16" s="36"/>
      <c r="AY16" s="36"/>
      <c r="AZ16" s="36"/>
      <c r="BA16" s="36"/>
      <c r="BB16" s="36"/>
      <c r="BC16" s="36"/>
      <c r="BD16" s="36"/>
      <c r="BE16" s="36"/>
    </row>
    <row r="17" spans="2:57" s="30" customFormat="1" ht="15" x14ac:dyDescent="0.2">
      <c r="B17" s="182" t="s">
        <v>457</v>
      </c>
      <c r="C17" s="156" t="s">
        <v>309</v>
      </c>
      <c r="D17" s="33"/>
      <c r="E17" s="33"/>
      <c r="F17" s="33"/>
      <c r="G17" s="33"/>
      <c r="H17" s="57"/>
      <c r="J17" s="169"/>
      <c r="K17" s="169"/>
      <c r="L17" s="169"/>
      <c r="M17" s="40"/>
      <c r="N17" s="40"/>
      <c r="O17" s="259"/>
      <c r="Q17" s="45"/>
      <c r="R17" s="35"/>
      <c r="S17" s="35"/>
      <c r="T17" s="35"/>
      <c r="U17" s="35"/>
      <c r="V17" s="177"/>
      <c r="W17" s="177"/>
      <c r="X17" s="59"/>
      <c r="Y17" s="35"/>
      <c r="Z17" s="59"/>
      <c r="AA17" s="178"/>
      <c r="AB17" s="59"/>
      <c r="AC17" s="59"/>
      <c r="AD17" s="59"/>
      <c r="AE17" s="59"/>
      <c r="AF17" s="178"/>
      <c r="AG17" s="59"/>
      <c r="AH17" s="35"/>
      <c r="AI17" s="35"/>
      <c r="AJ17" s="35"/>
      <c r="AK17" s="104"/>
      <c r="AL17" s="35"/>
      <c r="AM17" s="35"/>
      <c r="AN17" s="36"/>
      <c r="AO17" s="36"/>
      <c r="AP17" s="36"/>
      <c r="AQ17" s="36"/>
      <c r="AR17" s="36"/>
      <c r="AS17" s="36"/>
      <c r="AT17" s="36"/>
      <c r="AU17" s="36"/>
      <c r="AV17" s="36"/>
      <c r="AW17" s="36"/>
      <c r="AX17" s="36"/>
      <c r="AY17" s="36"/>
      <c r="AZ17" s="36"/>
      <c r="BA17" s="36"/>
      <c r="BB17" s="36"/>
      <c r="BC17" s="36"/>
      <c r="BD17" s="36"/>
      <c r="BE17" s="36"/>
    </row>
    <row r="18" spans="2:57" s="30" customFormat="1" ht="15" x14ac:dyDescent="0.2">
      <c r="B18" s="44" t="s">
        <v>521</v>
      </c>
      <c r="C18" s="153"/>
      <c r="D18" s="81" t="s">
        <v>52</v>
      </c>
      <c r="G18" s="33"/>
      <c r="H18" s="81"/>
      <c r="J18" s="32" t="s">
        <v>396</v>
      </c>
      <c r="K18" s="92" t="str">
        <f>IFERROR(IF(ISNUMBER(L18),L18,IF($C$26="Ei","",(VLOOKUP(C16,Kalusto!$C$45:$V$84,19,FALSE)*(VLOOKUP(C17,Muut!$D$40:$E$43,2,FALSE))))),"--")</f>
        <v>--</v>
      </c>
      <c r="L18" s="39"/>
      <c r="M18" s="40" t="s">
        <v>188</v>
      </c>
      <c r="N18" s="40"/>
      <c r="O18" s="259"/>
      <c r="P18" s="33"/>
      <c r="Q18" s="50"/>
      <c r="R18" s="48" t="str">
        <f>IF(ISNUMBER(R16),R16,"")</f>
        <v/>
      </c>
      <c r="S18" s="98" t="s">
        <v>439</v>
      </c>
      <c r="T18" s="35"/>
      <c r="U18" s="35"/>
      <c r="V18" s="35"/>
      <c r="W18" s="35"/>
      <c r="X18" s="35"/>
      <c r="Y18" s="35"/>
      <c r="Z18" s="35"/>
      <c r="AA18" s="35"/>
      <c r="AB18" s="35"/>
      <c r="AC18" s="35"/>
      <c r="AD18" s="35"/>
      <c r="AE18" s="35"/>
      <c r="AF18" s="35"/>
      <c r="AG18" s="35"/>
      <c r="AH18" s="35"/>
      <c r="AI18" s="35"/>
      <c r="AJ18" s="35"/>
      <c r="AK18" s="104"/>
      <c r="AL18" s="35"/>
      <c r="AM18" s="35"/>
      <c r="AN18" s="36"/>
      <c r="AO18" s="36"/>
      <c r="AP18" s="36"/>
      <c r="AQ18" s="36"/>
      <c r="AR18" s="36"/>
      <c r="AS18" s="36"/>
      <c r="AT18" s="36"/>
      <c r="AU18" s="36"/>
      <c r="AV18" s="36"/>
      <c r="AW18" s="36"/>
      <c r="AX18" s="36"/>
      <c r="AY18" s="36"/>
      <c r="AZ18" s="36"/>
      <c r="BA18" s="36"/>
      <c r="BB18" s="36"/>
      <c r="BC18" s="36"/>
      <c r="BD18" s="36"/>
      <c r="BE18" s="36"/>
    </row>
    <row r="19" spans="2:57" s="30" customFormat="1" ht="15" x14ac:dyDescent="0.2">
      <c r="B19" s="44" t="s">
        <v>522</v>
      </c>
      <c r="C19" s="154"/>
      <c r="D19" s="81" t="s">
        <v>5</v>
      </c>
      <c r="G19" s="33"/>
      <c r="H19" s="81"/>
      <c r="I19" s="51"/>
      <c r="J19" s="51"/>
      <c r="K19" s="33"/>
      <c r="L19" s="33"/>
      <c r="M19" s="81"/>
      <c r="N19" s="81"/>
      <c r="O19" s="96"/>
      <c r="P19" s="51"/>
      <c r="Q19" s="50"/>
      <c r="R19" s="35" t="s">
        <v>318</v>
      </c>
      <c r="S19" s="35"/>
      <c r="T19" s="35"/>
      <c r="U19" s="35"/>
      <c r="V19" s="35"/>
      <c r="W19" s="35"/>
      <c r="X19" s="35"/>
      <c r="Y19" s="35"/>
      <c r="Z19" s="35"/>
      <c r="AA19" s="35"/>
      <c r="AB19" s="35"/>
      <c r="AC19" s="35"/>
      <c r="AD19" s="35"/>
      <c r="AE19" s="35"/>
      <c r="AF19" s="35"/>
      <c r="AG19" s="35"/>
      <c r="AH19" s="35"/>
      <c r="AI19" s="35"/>
      <c r="AJ19" s="35"/>
      <c r="AK19" s="104"/>
      <c r="AL19" s="35"/>
      <c r="AM19" s="35"/>
      <c r="AN19" s="36"/>
      <c r="AO19" s="36"/>
      <c r="AP19" s="36"/>
      <c r="AQ19" s="36"/>
      <c r="AR19" s="36"/>
      <c r="AS19" s="36"/>
      <c r="AT19" s="36"/>
      <c r="AU19" s="36"/>
      <c r="AV19" s="36"/>
      <c r="AW19" s="36"/>
      <c r="AX19" s="36"/>
      <c r="AY19" s="36"/>
      <c r="AZ19" s="36"/>
      <c r="BA19" s="36"/>
      <c r="BB19" s="36"/>
      <c r="BC19" s="36"/>
      <c r="BD19" s="36"/>
      <c r="BE19" s="36"/>
    </row>
    <row r="20" spans="2:57" s="30" customFormat="1" ht="15" x14ac:dyDescent="0.2">
      <c r="B20" s="168" t="s">
        <v>394</v>
      </c>
      <c r="C20" s="33"/>
      <c r="D20" s="81"/>
      <c r="G20" s="33"/>
      <c r="H20" s="81"/>
      <c r="J20" s="32"/>
      <c r="K20" s="37" t="s">
        <v>297</v>
      </c>
      <c r="L20" s="37" t="s">
        <v>185</v>
      </c>
      <c r="M20" s="81"/>
      <c r="N20" s="81"/>
      <c r="O20" s="96"/>
      <c r="P20" s="33"/>
      <c r="Q20" s="34"/>
      <c r="R20" s="35" t="s">
        <v>160</v>
      </c>
      <c r="S20" s="35"/>
      <c r="T20" s="35" t="s">
        <v>400</v>
      </c>
      <c r="U20" s="35" t="s">
        <v>399</v>
      </c>
      <c r="V20" s="35" t="s">
        <v>397</v>
      </c>
      <c r="W20" s="35" t="s">
        <v>398</v>
      </c>
      <c r="X20" s="35" t="s">
        <v>401</v>
      </c>
      <c r="Y20" s="35" t="s">
        <v>403</v>
      </c>
      <c r="Z20" s="35" t="s">
        <v>402</v>
      </c>
      <c r="AA20" s="35" t="s">
        <v>186</v>
      </c>
      <c r="AB20" s="35" t="s">
        <v>345</v>
      </c>
      <c r="AC20" s="35" t="s">
        <v>404</v>
      </c>
      <c r="AD20" s="35" t="s">
        <v>346</v>
      </c>
      <c r="AE20" s="35" t="s">
        <v>405</v>
      </c>
      <c r="AF20" s="35" t="s">
        <v>406</v>
      </c>
      <c r="AG20" s="35" t="s">
        <v>578</v>
      </c>
      <c r="AH20" s="35" t="s">
        <v>190</v>
      </c>
      <c r="AI20" s="35" t="s">
        <v>249</v>
      </c>
      <c r="AJ20" s="35" t="s">
        <v>191</v>
      </c>
      <c r="AK20" s="104"/>
      <c r="AL20" s="35"/>
      <c r="AM20" s="35"/>
      <c r="AN20" s="36"/>
      <c r="AO20" s="36"/>
      <c r="AP20" s="36"/>
      <c r="AQ20" s="36"/>
      <c r="AR20" s="36"/>
      <c r="AS20" s="36"/>
      <c r="AT20" s="36"/>
      <c r="AU20" s="36"/>
      <c r="AV20" s="36"/>
      <c r="AW20" s="36"/>
      <c r="AX20" s="36"/>
      <c r="AY20" s="36"/>
      <c r="AZ20" s="36"/>
      <c r="BA20" s="36"/>
      <c r="BB20" s="36"/>
      <c r="BC20" s="36"/>
      <c r="BD20" s="36"/>
      <c r="BE20" s="36"/>
    </row>
    <row r="21" spans="2:57" s="30" customFormat="1" ht="30" x14ac:dyDescent="0.2">
      <c r="B21" s="166" t="s">
        <v>455</v>
      </c>
      <c r="C21" s="471" t="s">
        <v>298</v>
      </c>
      <c r="D21" s="472"/>
      <c r="E21" s="472"/>
      <c r="F21" s="472"/>
      <c r="G21" s="473"/>
      <c r="H21" s="165"/>
      <c r="J21" s="169" t="s">
        <v>395</v>
      </c>
      <c r="K21" s="92" t="str">
        <f>IFERROR(IF(ISNUMBER(L21),L21,(VLOOKUP(C21,Kalusto!$C$45:$L$84,5,FALSE)*(VLOOKUP(C22,Muut!$D$40:$E$43,2,FALSE)))),"--")</f>
        <v>--</v>
      </c>
      <c r="L21" s="39"/>
      <c r="M21" s="40" t="s">
        <v>184</v>
      </c>
      <c r="N21" s="40"/>
      <c r="O21" s="259"/>
      <c r="Q21" s="45"/>
      <c r="R21" s="48" t="str">
        <f>IF(AND(NOT(ISNUMBER(AB21)),NOT(ISNUMBER(AG21))),"",IF(ISNUMBER(AB21),AB21,0)+IF(ISNUMBER(AG21),AG21,0))</f>
        <v/>
      </c>
      <c r="S21" s="98" t="s">
        <v>438</v>
      </c>
      <c r="T21" s="46" t="str">
        <f>IFERROR(IF(ISNUMBER(L21),"Kohdetieto",VLOOKUP(C21,Kalusto!$C$45:$L$84,7,FALSE)),"--")</f>
        <v>--</v>
      </c>
      <c r="U21" s="46" t="str">
        <f>IFERROR(IF(ISNUMBER(L21),"Kohdetieto",VLOOKUP(C21,Kalusto!$C$45:$L$84,8,FALSE)),"--")</f>
        <v>--</v>
      </c>
      <c r="V21" s="47" t="str">
        <f>IFERROR(IF(ISNUMBER(L21),"Kohdetieto",VLOOKUP(C21,Kalusto!$C$45:$L$84,9,FALSE)),"--")</f>
        <v>--</v>
      </c>
      <c r="W21" s="47" t="str">
        <f>IFERROR(IF(ISNUMBER(L21),"Kohdetieto",VLOOKUP(C21,Kalusto!$C$45:$L$84,10,FALSE)),"--")</f>
        <v>--</v>
      </c>
      <c r="X21" s="48" t="str">
        <f>IF(ISBLANK(C23),"",C23)</f>
        <v/>
      </c>
      <c r="Y21" s="46" t="str">
        <f>IF(ISNUMBER(C24),C24,"")</f>
        <v/>
      </c>
      <c r="Z21" s="48" t="str">
        <f>IF(ISNUMBER(X21/(U21*V21)*Y21),X21/(U21*V21)*Y21,"")</f>
        <v/>
      </c>
      <c r="AA21" s="49" t="str">
        <f>IF(ISNUMBER(L21),L21,K21)</f>
        <v>--</v>
      </c>
      <c r="AB21" s="48" t="str">
        <f>IF(ISNUMBER(Y21*X21*K21),Y21*X21*K21,"")</f>
        <v/>
      </c>
      <c r="AC21" s="48" t="str">
        <f>IF(C40="Kyllä",Y21,"")</f>
        <v/>
      </c>
      <c r="AD21" s="48" t="str">
        <f>IF(C40="Kyllä",IF(ISNUMBER(X21/(U21*V21)),CEILING(X21/(U21*V21),1),""),"")</f>
        <v/>
      </c>
      <c r="AE21" s="48" t="str">
        <f>IF(ISNUMBER(AD21*AC21),AD21*AC21,"")</f>
        <v/>
      </c>
      <c r="AF21" s="49" t="str">
        <f>IF(ISNUMBER(L23),L23,K23)</f>
        <v>--</v>
      </c>
      <c r="AG21" s="48" t="str">
        <f>IF(ISNUMBER(AC21*AD21*K23),AC21*AD21*K23,"")</f>
        <v/>
      </c>
      <c r="AH21" s="46">
        <f>IF(T21="Jakelukuorma-auto",0,IF(T21="Maansiirtoauto",4,IF(T21="Puoliperävaunu",6,8)))</f>
        <v>8</v>
      </c>
      <c r="AI21" s="46">
        <f>IF(AND(T21="Jakelukuorma-auto",U21=6),0,IF(AND(T21="Jakelukuorma-auto",U21=15),2,0))</f>
        <v>0</v>
      </c>
      <c r="AJ21" s="46">
        <f>IF(W21="maantieajo",0,1)</f>
        <v>1</v>
      </c>
      <c r="AK21" s="104"/>
      <c r="AL21" s="35"/>
      <c r="AM21" s="35"/>
      <c r="AN21" s="36"/>
      <c r="AO21" s="36"/>
      <c r="AP21" s="36"/>
      <c r="AQ21" s="36"/>
      <c r="AR21" s="36"/>
      <c r="AS21" s="36"/>
      <c r="AT21" s="36"/>
      <c r="AU21" s="36"/>
      <c r="AV21" s="36"/>
      <c r="AW21" s="36"/>
      <c r="AX21" s="36"/>
      <c r="AY21" s="36"/>
      <c r="AZ21" s="36"/>
      <c r="BA21" s="36"/>
      <c r="BB21" s="36"/>
      <c r="BC21" s="36"/>
      <c r="BD21" s="36"/>
      <c r="BE21" s="36"/>
    </row>
    <row r="22" spans="2:57" s="30" customFormat="1" ht="15" x14ac:dyDescent="0.2">
      <c r="B22" s="182" t="s">
        <v>457</v>
      </c>
      <c r="C22" s="156" t="s">
        <v>309</v>
      </c>
      <c r="D22" s="33"/>
      <c r="E22" s="33"/>
      <c r="F22" s="33"/>
      <c r="G22" s="33"/>
      <c r="H22" s="57"/>
      <c r="J22" s="169"/>
      <c r="K22" s="169"/>
      <c r="L22" s="169"/>
      <c r="M22" s="40"/>
      <c r="N22" s="40"/>
      <c r="O22" s="259"/>
      <c r="Q22" s="45"/>
      <c r="R22" s="35"/>
      <c r="S22" s="35"/>
      <c r="T22" s="35"/>
      <c r="U22" s="35"/>
      <c r="V22" s="177"/>
      <c r="W22" s="177"/>
      <c r="X22" s="59"/>
      <c r="Y22" s="35"/>
      <c r="Z22" s="59"/>
      <c r="AA22" s="178"/>
      <c r="AB22" s="59"/>
      <c r="AC22" s="59"/>
      <c r="AD22" s="59"/>
      <c r="AE22" s="59"/>
      <c r="AF22" s="178"/>
      <c r="AG22" s="59"/>
      <c r="AH22" s="35"/>
      <c r="AI22" s="35"/>
      <c r="AJ22" s="35"/>
      <c r="AK22" s="104"/>
      <c r="AL22" s="35"/>
      <c r="AM22" s="35"/>
      <c r="AN22" s="36"/>
      <c r="AO22" s="36"/>
      <c r="AP22" s="36"/>
      <c r="AQ22" s="36"/>
      <c r="AR22" s="36"/>
      <c r="AS22" s="36"/>
      <c r="AT22" s="36"/>
      <c r="AU22" s="36"/>
      <c r="AV22" s="36"/>
      <c r="AW22" s="36"/>
      <c r="AX22" s="36"/>
      <c r="AY22" s="36"/>
      <c r="AZ22" s="36"/>
      <c r="BA22" s="36"/>
      <c r="BB22" s="36"/>
      <c r="BC22" s="36"/>
      <c r="BD22" s="36"/>
      <c r="BE22" s="36"/>
    </row>
    <row r="23" spans="2:57" s="30" customFormat="1" ht="15" x14ac:dyDescent="0.2">
      <c r="B23" s="44" t="s">
        <v>456</v>
      </c>
      <c r="C23" s="152"/>
      <c r="D23" s="81" t="s">
        <v>52</v>
      </c>
      <c r="G23" s="33"/>
      <c r="H23" s="81"/>
      <c r="J23" s="32" t="s">
        <v>396</v>
      </c>
      <c r="K23" s="92" t="str">
        <f>IFERROR(IF(ISNUMBER(L23),L23,IF($C$26="Ei","",(VLOOKUP(C21,Kalusto!$C$45:$V$84,19,FALSE)*(VLOOKUP(C22,Muut!$D$40:$E$43,2,FALSE))))),"--")</f>
        <v>--</v>
      </c>
      <c r="L23" s="39"/>
      <c r="M23" s="40" t="s">
        <v>188</v>
      </c>
      <c r="N23" s="40"/>
      <c r="O23" s="259"/>
      <c r="P23" s="33"/>
      <c r="Q23" s="50"/>
      <c r="R23" s="48" t="str">
        <f>IF(ISNUMBER(R21),R21,"")</f>
        <v/>
      </c>
      <c r="S23" s="98" t="s">
        <v>439</v>
      </c>
      <c r="T23" s="35"/>
      <c r="U23" s="35"/>
      <c r="V23" s="35"/>
      <c r="W23" s="35"/>
      <c r="X23" s="35"/>
      <c r="Y23" s="35"/>
      <c r="Z23" s="35"/>
      <c r="AA23" s="35"/>
      <c r="AB23" s="35"/>
      <c r="AC23" s="35"/>
      <c r="AD23" s="35"/>
      <c r="AE23" s="35"/>
      <c r="AF23" s="35"/>
      <c r="AG23" s="35"/>
      <c r="AH23" s="35"/>
      <c r="AI23" s="35"/>
      <c r="AJ23" s="35"/>
      <c r="AK23" s="35"/>
      <c r="AL23" s="35"/>
      <c r="AM23" s="35"/>
      <c r="AN23" s="36"/>
      <c r="AO23" s="36"/>
      <c r="AP23" s="36"/>
      <c r="AQ23" s="36"/>
      <c r="AR23" s="36"/>
      <c r="AS23" s="36"/>
      <c r="AT23" s="36"/>
      <c r="AU23" s="36"/>
      <c r="AV23" s="36"/>
      <c r="AW23" s="36"/>
      <c r="AX23" s="36"/>
      <c r="AY23" s="36"/>
      <c r="AZ23" s="36"/>
      <c r="BA23" s="36"/>
      <c r="BB23" s="36"/>
      <c r="BC23" s="36"/>
      <c r="BD23" s="36"/>
      <c r="BE23" s="36"/>
    </row>
    <row r="24" spans="2:57" s="30" customFormat="1" ht="15" x14ac:dyDescent="0.2">
      <c r="B24" s="44" t="s">
        <v>458</v>
      </c>
      <c r="C24" s="152"/>
      <c r="D24" s="81" t="s">
        <v>5</v>
      </c>
      <c r="G24" s="33"/>
      <c r="H24" s="81"/>
      <c r="I24" s="51"/>
      <c r="J24" s="51"/>
      <c r="K24" s="33"/>
      <c r="L24" s="33"/>
      <c r="M24" s="81"/>
      <c r="N24" s="81"/>
      <c r="O24" s="96"/>
      <c r="P24" s="51"/>
      <c r="Q24" s="50"/>
      <c r="R24" s="35"/>
      <c r="S24" s="35"/>
      <c r="T24" s="35"/>
      <c r="U24" s="35"/>
      <c r="V24" s="35"/>
      <c r="W24" s="35"/>
      <c r="X24" s="35"/>
      <c r="Y24" s="35"/>
      <c r="Z24" s="35"/>
      <c r="AA24" s="35"/>
      <c r="AB24" s="35"/>
      <c r="AC24" s="35"/>
      <c r="AD24" s="35"/>
      <c r="AE24" s="35"/>
      <c r="AF24" s="35"/>
      <c r="AG24" s="35"/>
      <c r="AH24" s="35"/>
      <c r="AI24" s="35"/>
      <c r="AJ24" s="35"/>
      <c r="AK24" s="35"/>
      <c r="AL24" s="35"/>
      <c r="AM24" s="35"/>
      <c r="AN24" s="36"/>
      <c r="AO24" s="36"/>
      <c r="AP24" s="36"/>
      <c r="AQ24" s="36"/>
      <c r="AR24" s="36"/>
      <c r="AS24" s="36"/>
      <c r="AT24" s="36"/>
      <c r="AU24" s="36"/>
      <c r="AV24" s="36"/>
      <c r="AW24" s="36"/>
      <c r="AX24" s="36"/>
      <c r="AY24" s="36"/>
      <c r="AZ24" s="36"/>
      <c r="BA24" s="36"/>
      <c r="BB24" s="36"/>
      <c r="BC24" s="36"/>
      <c r="BD24" s="36"/>
      <c r="BE24" s="36"/>
    </row>
    <row r="25" spans="2:57" s="30" customFormat="1" ht="15" x14ac:dyDescent="0.2">
      <c r="C25" s="33"/>
      <c r="D25" s="81"/>
      <c r="G25" s="33"/>
      <c r="H25" s="81"/>
      <c r="J25" s="32"/>
      <c r="K25" s="33"/>
      <c r="L25" s="33"/>
      <c r="M25" s="81"/>
      <c r="N25" s="81"/>
      <c r="O25" s="96"/>
      <c r="Q25" s="34"/>
      <c r="R25" s="35"/>
      <c r="S25" s="35"/>
      <c r="T25" s="35"/>
      <c r="U25" s="35"/>
      <c r="V25" s="35"/>
      <c r="W25" s="35"/>
      <c r="X25" s="35"/>
      <c r="Y25" s="35"/>
      <c r="Z25" s="35"/>
      <c r="AA25" s="35"/>
      <c r="AB25" s="35"/>
      <c r="AC25" s="35"/>
      <c r="AD25" s="35"/>
      <c r="AE25" s="35"/>
      <c r="AF25" s="35"/>
      <c r="AG25" s="35"/>
      <c r="AH25" s="35"/>
      <c r="AI25" s="35"/>
      <c r="AJ25" s="35"/>
      <c r="AK25" s="35"/>
      <c r="AL25" s="35"/>
      <c r="AM25" s="35"/>
      <c r="AN25" s="36"/>
      <c r="AO25" s="36"/>
      <c r="AP25" s="36"/>
      <c r="AQ25" s="36"/>
      <c r="AR25" s="36"/>
      <c r="AS25" s="36"/>
      <c r="AT25" s="36"/>
      <c r="AU25" s="36"/>
      <c r="AV25" s="36"/>
      <c r="AW25" s="36"/>
      <c r="AX25" s="36"/>
      <c r="AY25" s="36"/>
      <c r="AZ25" s="36"/>
      <c r="BA25" s="36"/>
      <c r="BB25" s="36"/>
      <c r="BC25" s="36"/>
      <c r="BD25" s="36"/>
      <c r="BE25" s="36"/>
    </row>
    <row r="26" spans="2:57" s="30" customFormat="1" ht="45" x14ac:dyDescent="0.2">
      <c r="B26" s="76" t="s">
        <v>606</v>
      </c>
      <c r="C26" s="471" t="s">
        <v>6</v>
      </c>
      <c r="D26" s="473"/>
      <c r="G26" s="80" t="str">
        <f>C26</f>
        <v>Kyllä</v>
      </c>
      <c r="H26" s="81"/>
      <c r="J26" s="32"/>
      <c r="K26" s="33"/>
      <c r="L26" s="33"/>
      <c r="M26" s="81"/>
      <c r="N26" s="81"/>
      <c r="O26" s="96"/>
      <c r="Q26" s="34"/>
      <c r="R26" s="95"/>
      <c r="S26" s="35"/>
      <c r="T26" s="35"/>
      <c r="U26" s="35"/>
      <c r="V26" s="35"/>
      <c r="W26" s="35"/>
      <c r="X26" s="35"/>
      <c r="Y26" s="35"/>
      <c r="Z26" s="35"/>
      <c r="AA26" s="35"/>
      <c r="AB26" s="35"/>
      <c r="AC26" s="35"/>
      <c r="AD26" s="35"/>
      <c r="AE26" s="35"/>
      <c r="AF26" s="35"/>
      <c r="AG26" s="35"/>
      <c r="AH26" s="35"/>
      <c r="AI26" s="35"/>
      <c r="AJ26" s="35"/>
      <c r="AK26" s="35"/>
      <c r="AL26" s="35"/>
      <c r="AM26" s="35"/>
      <c r="AN26" s="36"/>
      <c r="AO26" s="36"/>
      <c r="AP26" s="36"/>
      <c r="AQ26" s="36"/>
      <c r="AR26" s="36"/>
      <c r="AS26" s="36"/>
      <c r="AT26" s="36"/>
      <c r="AU26" s="36"/>
      <c r="AV26" s="36"/>
      <c r="AW26" s="36"/>
      <c r="AX26" s="36"/>
      <c r="AY26" s="36"/>
      <c r="AZ26" s="36"/>
      <c r="BA26" s="36"/>
      <c r="BB26" s="36"/>
      <c r="BC26" s="36"/>
      <c r="BD26" s="36"/>
      <c r="BE26" s="36"/>
    </row>
    <row r="27" spans="2:57" s="30" customFormat="1" ht="15" x14ac:dyDescent="0.2">
      <c r="C27" s="33"/>
      <c r="D27" s="81"/>
      <c r="G27" s="33"/>
      <c r="H27" s="81"/>
      <c r="K27" s="33"/>
      <c r="L27" s="33"/>
      <c r="M27" s="81"/>
      <c r="N27" s="81"/>
      <c r="O27" s="81"/>
      <c r="Q27" s="34"/>
      <c r="R27" s="95"/>
      <c r="S27" s="35"/>
      <c r="T27" s="35"/>
      <c r="U27" s="35"/>
      <c r="V27" s="35"/>
      <c r="W27" s="35"/>
      <c r="X27" s="35"/>
      <c r="Y27" s="35"/>
      <c r="Z27" s="35"/>
      <c r="AA27" s="35"/>
      <c r="AB27" s="35"/>
      <c r="AC27" s="35"/>
      <c r="AD27" s="35"/>
      <c r="AE27" s="35"/>
      <c r="AF27" s="35"/>
      <c r="AG27" s="35"/>
      <c r="AH27" s="35"/>
      <c r="AI27" s="35"/>
      <c r="AJ27" s="35"/>
      <c r="AK27" s="35"/>
      <c r="AL27" s="35"/>
      <c r="AM27" s="35"/>
      <c r="AN27" s="36"/>
      <c r="AO27" s="36"/>
      <c r="AP27" s="36"/>
      <c r="AQ27" s="36"/>
      <c r="AR27" s="36"/>
      <c r="AS27" s="36"/>
      <c r="AT27" s="36"/>
      <c r="AU27" s="36"/>
      <c r="AV27" s="36"/>
      <c r="AW27" s="36"/>
      <c r="AX27" s="36"/>
      <c r="AY27" s="36"/>
      <c r="AZ27" s="36"/>
      <c r="BA27" s="36"/>
      <c r="BB27" s="36"/>
      <c r="BC27" s="36"/>
      <c r="BD27" s="36"/>
      <c r="BE27" s="36"/>
    </row>
    <row r="28" spans="2:57" s="289" customFormat="1" ht="18" x14ac:dyDescent="0.2">
      <c r="B28" s="286" t="s">
        <v>459</v>
      </c>
      <c r="C28" s="287"/>
      <c r="D28" s="288"/>
      <c r="G28" s="287"/>
      <c r="H28" s="288"/>
      <c r="K28" s="287"/>
      <c r="L28" s="287"/>
      <c r="M28" s="288"/>
      <c r="N28" s="288"/>
      <c r="O28" s="291"/>
      <c r="P28" s="311"/>
      <c r="Q28" s="295"/>
      <c r="S28" s="294"/>
      <c r="T28" s="294"/>
      <c r="U28" s="294"/>
      <c r="V28" s="294"/>
      <c r="W28" s="294"/>
      <c r="X28" s="294"/>
      <c r="Y28" s="294"/>
      <c r="Z28" s="294"/>
      <c r="AA28" s="294"/>
      <c r="AB28" s="294"/>
      <c r="AC28" s="294"/>
      <c r="AD28" s="294"/>
      <c r="AE28" s="294"/>
      <c r="AF28" s="294"/>
      <c r="AG28" s="294"/>
      <c r="AH28" s="294"/>
      <c r="AI28" s="294"/>
      <c r="AJ28" s="294"/>
      <c r="AK28" s="294"/>
      <c r="AL28" s="294"/>
      <c r="AM28" s="294"/>
      <c r="AN28" s="295"/>
      <c r="AO28" s="295"/>
      <c r="AP28" s="295"/>
      <c r="AQ28" s="295"/>
      <c r="AR28" s="295"/>
      <c r="AS28" s="295"/>
      <c r="AT28" s="295"/>
      <c r="AU28" s="295"/>
      <c r="AV28" s="295"/>
      <c r="AW28" s="295"/>
      <c r="AX28" s="295"/>
      <c r="AY28" s="295"/>
      <c r="AZ28" s="295"/>
      <c r="BA28" s="295"/>
      <c r="BB28" s="295"/>
      <c r="BC28" s="295"/>
      <c r="BD28" s="295"/>
      <c r="BE28" s="295"/>
    </row>
    <row r="29" spans="2:57" s="30" customFormat="1" ht="16.5" thickBot="1" x14ac:dyDescent="0.25">
      <c r="B29" s="8"/>
      <c r="C29" s="33"/>
      <c r="D29" s="81"/>
      <c r="G29" s="33"/>
      <c r="H29" s="81"/>
      <c r="J29" s="32"/>
      <c r="K29" s="37" t="s">
        <v>297</v>
      </c>
      <c r="L29" s="37" t="s">
        <v>185</v>
      </c>
      <c r="M29" s="83"/>
      <c r="N29" s="83"/>
      <c r="O29" s="249" t="s">
        <v>584</v>
      </c>
      <c r="P29" s="37"/>
      <c r="Q29" s="34"/>
      <c r="R29" s="59" t="s">
        <v>318</v>
      </c>
      <c r="S29" s="35"/>
      <c r="T29" s="35"/>
      <c r="U29" s="35"/>
      <c r="V29" s="35"/>
      <c r="W29" s="35"/>
      <c r="X29" s="35"/>
      <c r="Y29" s="35"/>
      <c r="Z29" s="35"/>
      <c r="AA29" s="35"/>
      <c r="AB29" s="35"/>
      <c r="AC29" s="35"/>
      <c r="AD29" s="35"/>
      <c r="AE29" s="35"/>
      <c r="AF29" s="35"/>
      <c r="AG29" s="35"/>
      <c r="AH29" s="35"/>
      <c r="AI29" s="35"/>
      <c r="AJ29" s="35"/>
      <c r="AK29" s="35"/>
      <c r="AL29" s="35"/>
      <c r="AM29" s="35"/>
      <c r="AN29" s="36"/>
      <c r="AO29" s="36"/>
      <c r="AP29" s="36"/>
      <c r="AQ29" s="36"/>
      <c r="AR29" s="36"/>
      <c r="AS29" s="36"/>
      <c r="AT29" s="36"/>
      <c r="AU29" s="36"/>
      <c r="AV29" s="36"/>
      <c r="AW29" s="36"/>
      <c r="AX29" s="36"/>
      <c r="AY29" s="36"/>
      <c r="AZ29" s="36"/>
      <c r="BA29" s="36"/>
      <c r="BB29" s="36"/>
      <c r="BC29" s="36"/>
      <c r="BD29" s="36"/>
      <c r="BE29" s="36"/>
    </row>
    <row r="30" spans="2:57" s="30" customFormat="1" ht="15.75" thickBot="1" x14ac:dyDescent="0.25">
      <c r="B30" s="38" t="s">
        <v>428</v>
      </c>
      <c r="C30" s="152"/>
      <c r="D30" s="85" t="s">
        <v>162</v>
      </c>
      <c r="E30" s="31"/>
      <c r="F30" s="31"/>
      <c r="G30" s="33"/>
      <c r="H30" s="81"/>
      <c r="J30" s="32" t="s">
        <v>410</v>
      </c>
      <c r="K30" s="92">
        <f>IF(ISNUMBER(L30),L30,Muut!$F$5)</f>
        <v>8.4</v>
      </c>
      <c r="L30" s="39"/>
      <c r="M30" s="40" t="s">
        <v>266</v>
      </c>
      <c r="N30" s="40"/>
      <c r="O30" s="250"/>
      <c r="Q30" s="34"/>
      <c r="R30" s="128" t="str">
        <f>IF(ISNUMBER(C30),IF(ISNUMBER(L30),L30*C30,K30*C30),"")</f>
        <v/>
      </c>
      <c r="S30" s="98" t="s">
        <v>317</v>
      </c>
      <c r="T30" s="42"/>
      <c r="U30" s="42"/>
      <c r="V30" s="42"/>
      <c r="W30" s="35"/>
      <c r="X30" s="35"/>
      <c r="Y30" s="35"/>
      <c r="Z30" s="35"/>
      <c r="AA30" s="35"/>
      <c r="AB30" s="35"/>
      <c r="AC30" s="35"/>
      <c r="AD30" s="35"/>
      <c r="AE30" s="35"/>
      <c r="AF30" s="35"/>
      <c r="AG30" s="35"/>
      <c r="AH30" s="35"/>
      <c r="AI30" s="35"/>
      <c r="AJ30" s="35"/>
      <c r="AK30" s="35"/>
      <c r="AL30" s="35"/>
      <c r="AM30" s="35"/>
      <c r="AN30" s="36"/>
      <c r="AO30" s="36"/>
      <c r="AP30" s="36"/>
      <c r="AQ30" s="36"/>
      <c r="AR30" s="36"/>
      <c r="AS30" s="36"/>
      <c r="AT30" s="36"/>
      <c r="AU30" s="36"/>
      <c r="AV30" s="36"/>
      <c r="AW30" s="36"/>
      <c r="AX30" s="36"/>
      <c r="AY30" s="36"/>
      <c r="AZ30" s="36"/>
      <c r="BA30" s="36"/>
      <c r="BB30" s="36"/>
      <c r="BC30" s="36"/>
      <c r="BD30" s="36"/>
      <c r="BE30" s="36"/>
    </row>
    <row r="31" spans="2:57" s="30" customFormat="1" ht="15" x14ac:dyDescent="0.2">
      <c r="B31" s="166" t="s">
        <v>460</v>
      </c>
      <c r="C31" s="156" t="s">
        <v>309</v>
      </c>
      <c r="D31" s="85"/>
      <c r="E31" s="31"/>
      <c r="F31" s="31"/>
      <c r="G31" s="33"/>
      <c r="H31" s="81"/>
      <c r="J31" s="32" t="s">
        <v>409</v>
      </c>
      <c r="K31" s="92" t="str">
        <f>IFERROR(Muut!$F$6*VLOOKUP(C31,Muut!$D$40:$E$43,2,FALSE),"--")</f>
        <v>--</v>
      </c>
      <c r="L31" s="39"/>
      <c r="M31" s="40" t="s">
        <v>266</v>
      </c>
      <c r="N31" s="40"/>
      <c r="O31" s="259"/>
      <c r="Q31" s="34"/>
      <c r="R31" s="127" t="str">
        <f>IF(ISNUMBER(C30),IF(ISNUMBER(L31),L31*C30,K31*C30),"")</f>
        <v/>
      </c>
      <c r="S31" s="98" t="s">
        <v>160</v>
      </c>
      <c r="T31" s="42"/>
      <c r="U31" s="42"/>
      <c r="V31" s="42"/>
      <c r="W31" s="35"/>
      <c r="X31" s="35"/>
      <c r="Y31" s="35"/>
      <c r="Z31" s="35"/>
      <c r="AA31" s="35"/>
      <c r="AB31" s="35"/>
      <c r="AC31" s="35"/>
      <c r="AD31" s="35"/>
      <c r="AE31" s="35"/>
      <c r="AF31" s="35"/>
      <c r="AG31" s="35"/>
      <c r="AH31" s="35"/>
      <c r="AI31" s="35"/>
      <c r="AJ31" s="35"/>
      <c r="AK31" s="35"/>
      <c r="AL31" s="35"/>
      <c r="AM31" s="35"/>
      <c r="AN31" s="36"/>
      <c r="AO31" s="36"/>
      <c r="AP31" s="36"/>
      <c r="AQ31" s="36"/>
      <c r="AR31" s="36"/>
      <c r="AS31" s="36"/>
      <c r="AT31" s="36"/>
      <c r="AU31" s="36"/>
      <c r="AV31" s="36"/>
      <c r="AW31" s="36"/>
      <c r="AX31" s="36"/>
      <c r="AY31" s="36"/>
      <c r="AZ31" s="36"/>
      <c r="BA31" s="36"/>
      <c r="BB31" s="36"/>
      <c r="BC31" s="36"/>
      <c r="BD31" s="36"/>
      <c r="BE31" s="36"/>
    </row>
    <row r="32" spans="2:57" s="30" customFormat="1" ht="15" x14ac:dyDescent="0.2">
      <c r="B32" s="38" t="s">
        <v>429</v>
      </c>
      <c r="C32" s="152"/>
      <c r="D32" s="85" t="s">
        <v>162</v>
      </c>
      <c r="E32" s="31"/>
      <c r="F32" s="31"/>
      <c r="G32" s="33"/>
      <c r="H32" s="81"/>
      <c r="J32" s="32" t="s">
        <v>408</v>
      </c>
      <c r="K32" s="92" t="str">
        <f>IFERROR(Muut!$F$7*VLOOKUP(C33,Muut!$D$40:$E$43,2,FALSE),"--")</f>
        <v>--</v>
      </c>
      <c r="L32" s="39"/>
      <c r="M32" s="40" t="s">
        <v>266</v>
      </c>
      <c r="N32" s="40"/>
      <c r="O32" s="259"/>
      <c r="Q32" s="34"/>
      <c r="R32" s="46" t="str">
        <f>IF(ISNUMBER(#REF!),IF(ISNUMBER(L32),L32*#REF!,K32*#REF!),"")</f>
        <v/>
      </c>
      <c r="S32" s="98" t="s">
        <v>160</v>
      </c>
      <c r="T32" s="42"/>
      <c r="U32" s="42"/>
      <c r="V32" s="42"/>
      <c r="W32" s="35"/>
      <c r="X32" s="35"/>
      <c r="Y32" s="35"/>
      <c r="Z32" s="35"/>
      <c r="AA32" s="35"/>
      <c r="AB32" s="35"/>
      <c r="AC32" s="35"/>
      <c r="AD32" s="35"/>
      <c r="AE32" s="35"/>
      <c r="AF32" s="35"/>
      <c r="AG32" s="35"/>
      <c r="AH32" s="35"/>
      <c r="AI32" s="35"/>
      <c r="AJ32" s="35"/>
      <c r="AK32" s="35"/>
      <c r="AL32" s="35"/>
      <c r="AM32" s="35"/>
      <c r="AN32" s="36"/>
      <c r="AO32" s="36"/>
      <c r="AP32" s="36"/>
      <c r="AQ32" s="36"/>
      <c r="AR32" s="36"/>
      <c r="AS32" s="36"/>
      <c r="AT32" s="36"/>
      <c r="AU32" s="36"/>
      <c r="AV32" s="36"/>
      <c r="AW32" s="36"/>
      <c r="AX32" s="36"/>
      <c r="AY32" s="36"/>
      <c r="AZ32" s="36"/>
      <c r="BA32" s="36"/>
      <c r="BB32" s="36"/>
      <c r="BC32" s="36"/>
      <c r="BD32" s="36"/>
      <c r="BE32" s="36"/>
    </row>
    <row r="33" spans="2:57" s="30" customFormat="1" ht="15" x14ac:dyDescent="0.2">
      <c r="B33" s="166" t="s">
        <v>460</v>
      </c>
      <c r="C33" s="156" t="s">
        <v>309</v>
      </c>
      <c r="D33" s="33"/>
      <c r="E33" s="33"/>
      <c r="F33" s="33"/>
      <c r="G33" s="33"/>
      <c r="H33" s="57"/>
      <c r="J33" s="169"/>
      <c r="K33" s="169"/>
      <c r="L33" s="169"/>
      <c r="M33" s="40"/>
      <c r="N33" s="40"/>
      <c r="O33" s="259"/>
      <c r="Q33" s="45"/>
      <c r="R33" s="98"/>
      <c r="S33" s="98"/>
      <c r="T33" s="35"/>
      <c r="U33" s="35"/>
      <c r="V33" s="177"/>
      <c r="W33" s="177"/>
      <c r="X33" s="59"/>
      <c r="Y33" s="35"/>
      <c r="Z33" s="59"/>
      <c r="AA33" s="178"/>
      <c r="AB33" s="59"/>
      <c r="AC33" s="59"/>
      <c r="AD33" s="59"/>
      <c r="AE33" s="59"/>
      <c r="AF33" s="178"/>
      <c r="AG33" s="59"/>
      <c r="AH33" s="35"/>
      <c r="AI33" s="35"/>
      <c r="AJ33" s="35"/>
      <c r="AK33" s="104"/>
      <c r="AL33" s="35"/>
      <c r="AM33" s="35"/>
      <c r="AN33" s="36"/>
      <c r="AO33" s="36"/>
      <c r="AP33" s="36"/>
      <c r="AQ33" s="36"/>
      <c r="AR33" s="36"/>
      <c r="AS33" s="36"/>
      <c r="AT33" s="36"/>
      <c r="AU33" s="36"/>
      <c r="AV33" s="36"/>
      <c r="AW33" s="36"/>
      <c r="AX33" s="36"/>
      <c r="AY33" s="36"/>
      <c r="AZ33" s="36"/>
      <c r="BA33" s="36"/>
      <c r="BB33" s="36"/>
      <c r="BC33" s="36"/>
      <c r="BD33" s="36"/>
      <c r="BE33" s="36"/>
    </row>
    <row r="34" spans="2:57" s="30" customFormat="1" ht="15" x14ac:dyDescent="0.2">
      <c r="B34" s="38" t="s">
        <v>358</v>
      </c>
      <c r="C34" s="152"/>
      <c r="D34" s="85" t="s">
        <v>163</v>
      </c>
      <c r="E34" s="31"/>
      <c r="F34" s="31"/>
      <c r="G34" s="33"/>
      <c r="H34" s="81"/>
      <c r="J34" s="32" t="s">
        <v>407</v>
      </c>
      <c r="K34" s="92" t="str">
        <f>IFERROR(Muut!$F$8*VLOOKUP(C35,Muut!$D$40:$E$43,2,FALSE),"--")</f>
        <v>--</v>
      </c>
      <c r="L34" s="39"/>
      <c r="M34" s="40" t="s">
        <v>207</v>
      </c>
      <c r="N34" s="40"/>
      <c r="O34" s="259"/>
      <c r="Q34" s="34"/>
      <c r="R34" s="46" t="str">
        <f>IF(ISNUMBER(C34),IF(ISNUMBER(L34),L34*C34,K34*C34),"")</f>
        <v/>
      </c>
      <c r="S34" s="98" t="s">
        <v>160</v>
      </c>
      <c r="T34" s="42"/>
      <c r="U34" s="42"/>
      <c r="V34" s="42"/>
      <c r="W34" s="35"/>
      <c r="X34" s="35"/>
      <c r="Y34" s="35"/>
      <c r="Z34" s="35"/>
      <c r="AA34" s="35"/>
      <c r="AB34" s="35"/>
      <c r="AC34" s="35"/>
      <c r="AD34" s="35"/>
      <c r="AE34" s="35"/>
      <c r="AF34" s="35"/>
      <c r="AG34" s="35"/>
      <c r="AH34" s="35"/>
      <c r="AI34" s="35"/>
      <c r="AJ34" s="35"/>
      <c r="AK34" s="35"/>
      <c r="AL34" s="35"/>
      <c r="AM34" s="35"/>
      <c r="AN34" s="36"/>
      <c r="AO34" s="36"/>
      <c r="AP34" s="36"/>
      <c r="AQ34" s="36"/>
      <c r="AR34" s="36"/>
      <c r="AS34" s="36"/>
      <c r="AT34" s="36"/>
      <c r="AU34" s="36"/>
      <c r="AV34" s="36"/>
      <c r="AW34" s="36"/>
      <c r="AX34" s="36"/>
      <c r="AY34" s="36"/>
      <c r="AZ34" s="36"/>
      <c r="BA34" s="36"/>
      <c r="BB34" s="36"/>
      <c r="BC34" s="36"/>
      <c r="BD34" s="36"/>
      <c r="BE34" s="36"/>
    </row>
    <row r="35" spans="2:57" s="30" customFormat="1" ht="15" x14ac:dyDescent="0.2">
      <c r="B35" s="166" t="s">
        <v>460</v>
      </c>
      <c r="C35" s="156" t="s">
        <v>309</v>
      </c>
      <c r="D35" s="33"/>
      <c r="E35" s="33"/>
      <c r="F35" s="33"/>
      <c r="G35" s="33"/>
      <c r="H35" s="57"/>
      <c r="J35" s="169"/>
      <c r="K35" s="169"/>
      <c r="L35" s="169"/>
      <c r="M35" s="40"/>
      <c r="N35" s="40"/>
      <c r="O35" s="259"/>
      <c r="Q35" s="45"/>
      <c r="R35" s="98"/>
      <c r="S35" s="98"/>
      <c r="T35" s="35"/>
      <c r="U35" s="35"/>
      <c r="V35" s="177"/>
      <c r="W35" s="177"/>
      <c r="X35" s="59"/>
      <c r="Y35" s="35"/>
      <c r="Z35" s="59"/>
      <c r="AA35" s="178"/>
      <c r="AB35" s="59"/>
      <c r="AC35" s="59"/>
      <c r="AD35" s="59"/>
      <c r="AE35" s="59"/>
      <c r="AF35" s="178"/>
      <c r="AG35" s="59"/>
      <c r="AH35" s="35"/>
      <c r="AI35" s="35"/>
      <c r="AJ35" s="35"/>
      <c r="AK35" s="104"/>
      <c r="AL35" s="35"/>
      <c r="AM35" s="35"/>
      <c r="AN35" s="36"/>
      <c r="AO35" s="36"/>
      <c r="AP35" s="36"/>
      <c r="AQ35" s="36"/>
      <c r="AR35" s="36"/>
      <c r="AS35" s="36"/>
      <c r="AT35" s="36"/>
      <c r="AU35" s="36"/>
      <c r="AV35" s="36"/>
      <c r="AW35" s="36"/>
      <c r="AX35" s="36"/>
      <c r="AY35" s="36"/>
      <c r="AZ35" s="36"/>
      <c r="BA35" s="36"/>
      <c r="BB35" s="36"/>
      <c r="BC35" s="36"/>
      <c r="BD35" s="36"/>
      <c r="BE35" s="36"/>
    </row>
    <row r="36" spans="2:57" s="30" customFormat="1" ht="15.75" x14ac:dyDescent="0.2">
      <c r="B36" s="8"/>
      <c r="C36" s="33"/>
      <c r="D36" s="81"/>
      <c r="G36" s="33"/>
      <c r="H36" s="81"/>
      <c r="K36" s="33"/>
      <c r="L36" s="33"/>
      <c r="M36" s="81"/>
      <c r="N36" s="81"/>
      <c r="O36" s="81"/>
      <c r="Q36" s="34"/>
      <c r="R36" s="35"/>
      <c r="S36" s="35"/>
      <c r="T36" s="35"/>
      <c r="U36" s="35"/>
      <c r="V36" s="35"/>
      <c r="W36" s="35"/>
      <c r="X36" s="35"/>
      <c r="Y36" s="35"/>
      <c r="Z36" s="35"/>
      <c r="AA36" s="35"/>
      <c r="AB36" s="35"/>
      <c r="AC36" s="35"/>
      <c r="AD36" s="35"/>
      <c r="AE36" s="35"/>
      <c r="AF36" s="35"/>
      <c r="AG36" s="35"/>
      <c r="AH36" s="35"/>
      <c r="AI36" s="35"/>
      <c r="AJ36" s="35"/>
      <c r="AK36" s="35"/>
      <c r="AL36" s="35"/>
      <c r="AM36" s="35"/>
      <c r="AN36" s="36"/>
      <c r="AO36" s="36"/>
      <c r="AP36" s="36"/>
      <c r="AQ36" s="36"/>
      <c r="AR36" s="36"/>
      <c r="AS36" s="36"/>
      <c r="AT36" s="36"/>
      <c r="AU36" s="36"/>
      <c r="AV36" s="36"/>
      <c r="AW36" s="36"/>
      <c r="AX36" s="36"/>
      <c r="AY36" s="36"/>
      <c r="AZ36" s="36"/>
      <c r="BA36" s="36"/>
      <c r="BB36" s="36"/>
      <c r="BC36" s="36"/>
      <c r="BD36" s="36"/>
      <c r="BE36" s="36"/>
    </row>
    <row r="37" spans="2:57" s="289" customFormat="1" ht="18" x14ac:dyDescent="0.2">
      <c r="B37" s="286" t="s">
        <v>262</v>
      </c>
      <c r="C37" s="287"/>
      <c r="D37" s="288"/>
      <c r="G37" s="287"/>
      <c r="H37" s="288"/>
      <c r="K37" s="287"/>
      <c r="L37" s="287"/>
      <c r="M37" s="288"/>
      <c r="N37" s="288"/>
      <c r="O37" s="291"/>
      <c r="P37" s="311"/>
      <c r="Q37" s="295"/>
      <c r="S37" s="294"/>
      <c r="T37" s="294"/>
      <c r="U37" s="294"/>
      <c r="V37" s="294"/>
      <c r="W37" s="294"/>
      <c r="X37" s="294"/>
      <c r="Y37" s="294"/>
      <c r="Z37" s="294"/>
      <c r="AA37" s="294"/>
      <c r="AB37" s="294"/>
      <c r="AC37" s="294"/>
      <c r="AD37" s="294"/>
      <c r="AE37" s="294"/>
      <c r="AF37" s="294"/>
      <c r="AG37" s="294"/>
      <c r="AH37" s="294"/>
      <c r="AI37" s="294"/>
      <c r="AJ37" s="294"/>
      <c r="AK37" s="294"/>
      <c r="AL37" s="294"/>
      <c r="AM37" s="294"/>
      <c r="AN37" s="295"/>
      <c r="AO37" s="295"/>
      <c r="AP37" s="295"/>
      <c r="AQ37" s="295"/>
      <c r="AR37" s="295"/>
      <c r="AS37" s="295"/>
      <c r="AT37" s="295"/>
      <c r="AU37" s="295"/>
      <c r="AV37" s="295"/>
      <c r="AW37" s="295"/>
      <c r="AX37" s="295"/>
      <c r="AY37" s="295"/>
      <c r="AZ37" s="295"/>
      <c r="BA37" s="295"/>
      <c r="BB37" s="295"/>
      <c r="BC37" s="295"/>
      <c r="BD37" s="295"/>
      <c r="BE37" s="295"/>
    </row>
    <row r="38" spans="2:57" s="30" customFormat="1" ht="15" x14ac:dyDescent="0.2">
      <c r="B38" s="52"/>
      <c r="O38" s="249" t="s">
        <v>584</v>
      </c>
      <c r="Q38" s="129"/>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row>
    <row r="39" spans="2:57" s="30" customFormat="1" ht="15" x14ac:dyDescent="0.2">
      <c r="B39" s="151" t="s">
        <v>354</v>
      </c>
      <c r="C39" s="52"/>
      <c r="D39" s="52"/>
      <c r="E39" s="52"/>
      <c r="F39" s="52"/>
      <c r="G39" s="52"/>
      <c r="H39" s="52"/>
      <c r="I39" s="52"/>
      <c r="J39" s="52"/>
      <c r="K39" s="37" t="s">
        <v>297</v>
      </c>
      <c r="L39" s="37" t="s">
        <v>185</v>
      </c>
      <c r="M39" s="81"/>
      <c r="N39" s="81"/>
      <c r="O39" s="250"/>
      <c r="P39" s="37"/>
      <c r="Q39" s="34"/>
      <c r="R39" s="59" t="s">
        <v>318</v>
      </c>
      <c r="S39" s="35"/>
      <c r="T39" s="35" t="s">
        <v>246</v>
      </c>
      <c r="U39" s="35" t="s">
        <v>319</v>
      </c>
      <c r="V39" s="35" t="s">
        <v>320</v>
      </c>
      <c r="W39" s="35"/>
      <c r="X39" s="35"/>
      <c r="Y39" s="35"/>
      <c r="Z39" s="35"/>
      <c r="AA39" s="60"/>
      <c r="AB39" s="35"/>
      <c r="AC39" s="35"/>
      <c r="AD39" s="35"/>
      <c r="AE39" s="35"/>
      <c r="AF39" s="35"/>
      <c r="AG39" s="35"/>
      <c r="AH39" s="35"/>
      <c r="AI39" s="35"/>
      <c r="AJ39" s="35"/>
      <c r="AK39" s="35"/>
      <c r="AL39" s="35"/>
      <c r="AM39" s="35"/>
      <c r="AN39" s="36"/>
      <c r="AO39" s="36"/>
      <c r="AP39" s="36"/>
      <c r="AQ39" s="36"/>
      <c r="AR39" s="36"/>
      <c r="AS39" s="36"/>
      <c r="AT39" s="36"/>
      <c r="AU39" s="36"/>
      <c r="AV39" s="36"/>
      <c r="AW39" s="36"/>
      <c r="AX39" s="36"/>
      <c r="AY39" s="36"/>
      <c r="AZ39" s="36"/>
      <c r="BA39" s="36"/>
      <c r="BB39" s="36"/>
      <c r="BC39" s="36"/>
      <c r="BD39" s="36"/>
      <c r="BE39" s="36"/>
    </row>
    <row r="40" spans="2:57" s="30" customFormat="1" ht="15" x14ac:dyDescent="0.2">
      <c r="B40" s="52" t="s">
        <v>461</v>
      </c>
      <c r="C40" s="471" t="s">
        <v>300</v>
      </c>
      <c r="D40" s="472"/>
      <c r="E40" s="472"/>
      <c r="F40" s="472"/>
      <c r="G40" s="473"/>
      <c r="J40" s="32" t="s">
        <v>424</v>
      </c>
      <c r="K40" s="92" t="str">
        <f>IF(ISNUMBER(L40),L40,IF(C40=Kalusto!$C$33,Kalusto!$E$33*1/IF(C41=Pudotusvalikot!$V$4,Muut!$F$45*(Muut!$F$15+Muut!$F$18),IF(C41=Pudotusvalikot!$V$5,Muut!$F$46*(Muut!$F$16+Muut!$F$19),IF(C41=Pudotusvalikot!$V$6,Muut!$F$47*(Muut!$F$17+Muut!$F$20),(Muut!$F$11+Muut!$F$13)))),IF(C40=Pudotusvalikot!$D$67,"--",VLOOKUP(C40,Kalusto!$C$5:$E$42,3,FALSE)*VLOOKUP(C41,Muut!$D$40:$E$43,2,FALSE))))</f>
        <v>--</v>
      </c>
      <c r="L40" s="39"/>
      <c r="M40" s="40" t="s">
        <v>189</v>
      </c>
      <c r="N40" s="40"/>
      <c r="O40" s="259"/>
      <c r="P40" s="58"/>
      <c r="Q40" s="34"/>
      <c r="R40" s="48" t="str">
        <f>IF(ISNUMBER(K40*V40),K40*V40,"")</f>
        <v/>
      </c>
      <c r="S40" s="98" t="s">
        <v>160</v>
      </c>
      <c r="T40" s="48" t="str">
        <f>IF(ISNUMBER(C42),C42,"")</f>
        <v/>
      </c>
      <c r="U40" s="62" t="str">
        <f>IF(D42="h","",IF(ISNUMBER(C42),C42,""))</f>
        <v/>
      </c>
      <c r="V40" s="48" t="str">
        <f>IF(ISNUMBER(T40),IF(D42="h",C42,IF(ISNUMBER(T40*U40),IF(D42="m3/h",T40/U40,T40*U40),"")),"")</f>
        <v/>
      </c>
      <c r="W40" s="104"/>
      <c r="X40" s="59"/>
      <c r="Y40" s="35"/>
      <c r="Z40" s="35"/>
      <c r="AA40" s="35"/>
      <c r="AB40" s="35"/>
      <c r="AC40" s="35"/>
      <c r="AD40" s="35"/>
      <c r="AE40" s="35"/>
      <c r="AF40" s="35"/>
      <c r="AG40" s="35"/>
      <c r="AH40" s="35"/>
      <c r="AI40" s="35"/>
      <c r="AJ40" s="35"/>
      <c r="AK40" s="35"/>
      <c r="AL40" s="35"/>
      <c r="AM40" s="35"/>
      <c r="AN40" s="36"/>
      <c r="AO40" s="36"/>
      <c r="AP40" s="36"/>
      <c r="AQ40" s="36"/>
      <c r="AR40" s="36"/>
      <c r="AS40" s="36"/>
      <c r="AT40" s="36"/>
      <c r="AU40" s="36"/>
      <c r="AV40" s="36"/>
      <c r="AW40" s="36"/>
      <c r="AX40" s="36"/>
      <c r="AY40" s="36"/>
      <c r="AZ40" s="36"/>
      <c r="BA40" s="36"/>
      <c r="BB40" s="36"/>
      <c r="BC40" s="36"/>
      <c r="BD40" s="36"/>
      <c r="BE40" s="36"/>
    </row>
    <row r="41" spans="2:57" s="30" customFormat="1" ht="15" x14ac:dyDescent="0.2">
      <c r="B41" s="166" t="s">
        <v>460</v>
      </c>
      <c r="C41" s="156" t="s">
        <v>309</v>
      </c>
      <c r="D41" s="33"/>
      <c r="E41" s="33"/>
      <c r="F41" s="33"/>
      <c r="G41" s="33"/>
      <c r="J41" s="32"/>
      <c r="K41" s="32"/>
      <c r="L41" s="32"/>
      <c r="M41" s="32"/>
      <c r="N41" s="32"/>
      <c r="O41" s="265"/>
      <c r="P41" s="58"/>
      <c r="Q41" s="34"/>
      <c r="R41" s="59"/>
      <c r="S41" s="98"/>
      <c r="T41" s="59"/>
      <c r="U41" s="60"/>
      <c r="V41" s="59"/>
      <c r="W41" s="104"/>
      <c r="X41" s="59"/>
      <c r="Y41" s="35"/>
      <c r="Z41" s="35"/>
      <c r="AA41" s="35"/>
      <c r="AB41" s="35"/>
      <c r="AC41" s="35"/>
      <c r="AD41" s="35"/>
      <c r="AE41" s="35"/>
      <c r="AF41" s="35"/>
      <c r="AG41" s="35"/>
      <c r="AH41" s="35"/>
      <c r="AI41" s="35"/>
      <c r="AJ41" s="35"/>
      <c r="AK41" s="35"/>
      <c r="AL41" s="35"/>
      <c r="AM41" s="35"/>
      <c r="AN41" s="36"/>
      <c r="AO41" s="36"/>
      <c r="AP41" s="36"/>
      <c r="AQ41" s="36"/>
      <c r="AR41" s="36"/>
      <c r="AS41" s="36"/>
      <c r="AT41" s="36"/>
      <c r="AU41" s="36"/>
      <c r="AV41" s="36"/>
      <c r="AW41" s="36"/>
      <c r="AX41" s="36"/>
      <c r="AY41" s="36"/>
      <c r="AZ41" s="36"/>
      <c r="BA41" s="36"/>
      <c r="BB41" s="36"/>
      <c r="BC41" s="36"/>
      <c r="BD41" s="36"/>
      <c r="BE41" s="36"/>
    </row>
    <row r="42" spans="2:57" s="30" customFormat="1" ht="15" x14ac:dyDescent="0.2">
      <c r="B42" s="44" t="s">
        <v>357</v>
      </c>
      <c r="C42" s="155"/>
      <c r="D42" s="81" t="s">
        <v>51</v>
      </c>
      <c r="E42" s="33"/>
      <c r="F42" s="33"/>
      <c r="G42" s="33"/>
      <c r="J42" s="32"/>
      <c r="M42" s="81"/>
      <c r="N42" s="81"/>
      <c r="O42" s="96"/>
      <c r="P42" s="41"/>
      <c r="Q42" s="50"/>
      <c r="R42" s="107"/>
      <c r="S42" s="35"/>
      <c r="T42" s="35"/>
      <c r="U42" s="35"/>
      <c r="V42" s="35"/>
      <c r="W42" s="35"/>
      <c r="X42" s="35"/>
      <c r="Y42" s="35"/>
      <c r="Z42" s="35"/>
      <c r="AA42" s="35"/>
      <c r="AB42" s="35"/>
      <c r="AC42" s="35"/>
      <c r="AD42" s="35"/>
      <c r="AE42" s="35"/>
      <c r="AF42" s="35"/>
      <c r="AG42" s="35"/>
      <c r="AH42" s="35"/>
      <c r="AI42" s="35"/>
      <c r="AJ42" s="35"/>
      <c r="AK42" s="35"/>
      <c r="AL42" s="35"/>
      <c r="AM42" s="35"/>
      <c r="AN42" s="36"/>
      <c r="AO42" s="36"/>
      <c r="AP42" s="36"/>
      <c r="AQ42" s="36"/>
      <c r="AR42" s="36"/>
      <c r="AS42" s="36"/>
      <c r="AT42" s="36"/>
      <c r="AU42" s="36"/>
      <c r="AV42" s="36"/>
      <c r="AW42" s="36"/>
      <c r="AX42" s="36"/>
      <c r="AY42" s="36"/>
      <c r="AZ42" s="36"/>
      <c r="BA42" s="36"/>
      <c r="BB42" s="36"/>
      <c r="BC42" s="36"/>
      <c r="BD42" s="36"/>
      <c r="BE42" s="36"/>
    </row>
    <row r="43" spans="2:57" s="30" customFormat="1" ht="15" x14ac:dyDescent="0.2">
      <c r="B43" s="151" t="s">
        <v>355</v>
      </c>
      <c r="K43" s="37" t="s">
        <v>297</v>
      </c>
      <c r="L43" s="37" t="s">
        <v>185</v>
      </c>
      <c r="O43" s="253"/>
      <c r="Q43" s="129"/>
      <c r="R43" s="59" t="s">
        <v>318</v>
      </c>
      <c r="S43" s="104"/>
      <c r="T43" s="35" t="s">
        <v>246</v>
      </c>
      <c r="U43" s="35" t="s">
        <v>319</v>
      </c>
      <c r="V43" s="35" t="s">
        <v>320</v>
      </c>
      <c r="W43" s="35"/>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row>
    <row r="44" spans="2:57" s="30" customFormat="1" ht="15.6" customHeight="1" x14ac:dyDescent="0.2">
      <c r="B44" s="44" t="s">
        <v>461</v>
      </c>
      <c r="C44" s="471" t="s">
        <v>300</v>
      </c>
      <c r="D44" s="472"/>
      <c r="E44" s="472"/>
      <c r="F44" s="472"/>
      <c r="G44" s="473"/>
      <c r="J44" s="32" t="s">
        <v>424</v>
      </c>
      <c r="K44" s="92" t="str">
        <f>IF(ISNUMBER(L44),L44,IF(C44=Kalusto!$C$33,Kalusto!$E$33*1/IF(C45=Pudotusvalikot!$V$4,Muut!$F$45*(Muut!$F$15+Muut!$F$18),IF(C45=Pudotusvalikot!$V$5,Muut!$F$46*(Muut!$F$16+Muut!$F$19),IF(C45=Pudotusvalikot!$V$6,Muut!$F$47*(Muut!$F$17+Muut!$F$20),(Muut!$F$11+Muut!$F$13)))),IF(C44=Pudotusvalikot!$D$67,"--",VLOOKUP(C44,Kalusto!$C$5:$E$42,3,FALSE)*VLOOKUP(C45,Muut!$D$40:$E$43,2,FALSE))))</f>
        <v>--</v>
      </c>
      <c r="L44" s="39"/>
      <c r="M44" s="40" t="s">
        <v>189</v>
      </c>
      <c r="N44" s="40"/>
      <c r="O44" s="259"/>
      <c r="P44" s="58"/>
      <c r="Q44" s="34"/>
      <c r="R44" s="48" t="str">
        <f>IF(ISNUMBER(K44*V44),K44*V44,"")</f>
        <v/>
      </c>
      <c r="S44" s="98" t="s">
        <v>160</v>
      </c>
      <c r="T44" s="48" t="str">
        <f>IF(ISNUMBER(C46),C46,"")</f>
        <v/>
      </c>
      <c r="U44" s="62" t="str">
        <f>IF(D46="h","",IF(ISNUMBER(C46),C46,""))</f>
        <v/>
      </c>
      <c r="V44" s="48" t="str">
        <f>IF(ISNUMBER(T44),IF(D46="h",C46,IF(ISNUMBER(T44*U44),IF(D46="m3/h",T44/U44,T44*U44),"")),"")</f>
        <v/>
      </c>
      <c r="W44" s="104"/>
      <c r="X44" s="59"/>
      <c r="Y44" s="35"/>
      <c r="Z44" s="35"/>
      <c r="AA44" s="35"/>
      <c r="AB44" s="35"/>
      <c r="AC44" s="35"/>
      <c r="AD44" s="35"/>
      <c r="AE44" s="35"/>
      <c r="AF44" s="35"/>
      <c r="AG44" s="35"/>
      <c r="AH44" s="35"/>
      <c r="AI44" s="35"/>
      <c r="AJ44" s="35"/>
      <c r="AK44" s="35"/>
      <c r="AL44" s="35"/>
      <c r="AM44" s="35"/>
      <c r="AN44" s="36"/>
      <c r="AO44" s="36"/>
      <c r="AP44" s="36"/>
      <c r="AQ44" s="36"/>
      <c r="AR44" s="36"/>
      <c r="AS44" s="36"/>
      <c r="AT44" s="36"/>
      <c r="AU44" s="36"/>
      <c r="AV44" s="36"/>
      <c r="AW44" s="36"/>
      <c r="AX44" s="36"/>
      <c r="AY44" s="36"/>
      <c r="AZ44" s="36"/>
      <c r="BA44" s="36"/>
      <c r="BB44" s="36"/>
      <c r="BC44" s="36"/>
      <c r="BD44" s="36"/>
      <c r="BE44" s="36"/>
    </row>
    <row r="45" spans="2:57" s="30" customFormat="1" ht="15.6" customHeight="1" x14ac:dyDescent="0.2">
      <c r="B45" s="166" t="s">
        <v>460</v>
      </c>
      <c r="C45" s="156" t="s">
        <v>309</v>
      </c>
      <c r="D45" s="33"/>
      <c r="E45" s="33"/>
      <c r="F45" s="33"/>
      <c r="G45" s="33"/>
      <c r="J45" s="32"/>
      <c r="K45" s="32"/>
      <c r="L45" s="32"/>
      <c r="M45" s="32"/>
      <c r="N45" s="32"/>
      <c r="O45" s="265"/>
      <c r="P45" s="58"/>
      <c r="Q45" s="34"/>
      <c r="R45" s="59"/>
      <c r="S45" s="98"/>
      <c r="T45" s="59"/>
      <c r="U45" s="60"/>
      <c r="V45" s="59"/>
      <c r="W45" s="104"/>
      <c r="X45" s="59"/>
      <c r="Y45" s="35"/>
      <c r="Z45" s="35"/>
      <c r="AA45" s="35"/>
      <c r="AB45" s="35"/>
      <c r="AC45" s="35"/>
      <c r="AD45" s="35"/>
      <c r="AE45" s="35"/>
      <c r="AF45" s="35"/>
      <c r="AG45" s="35"/>
      <c r="AH45" s="35"/>
      <c r="AI45" s="35"/>
      <c r="AJ45" s="35"/>
      <c r="AK45" s="35"/>
      <c r="AL45" s="35"/>
      <c r="AM45" s="35"/>
      <c r="AN45" s="36"/>
      <c r="AO45" s="36"/>
      <c r="AP45" s="36"/>
      <c r="AQ45" s="36"/>
      <c r="AR45" s="36"/>
      <c r="AS45" s="36"/>
      <c r="AT45" s="36"/>
      <c r="AU45" s="36"/>
      <c r="AV45" s="36"/>
      <c r="AW45" s="36"/>
      <c r="AX45" s="36"/>
      <c r="AY45" s="36"/>
      <c r="AZ45" s="36"/>
      <c r="BA45" s="36"/>
      <c r="BB45" s="36"/>
      <c r="BC45" s="36"/>
      <c r="BD45" s="36"/>
      <c r="BE45" s="36"/>
    </row>
    <row r="46" spans="2:57" s="30" customFormat="1" ht="15" x14ac:dyDescent="0.2">
      <c r="B46" s="44" t="s">
        <v>357</v>
      </c>
      <c r="C46" s="155"/>
      <c r="D46" s="81" t="s">
        <v>51</v>
      </c>
      <c r="E46" s="33"/>
      <c r="F46" s="33"/>
      <c r="G46" s="33"/>
      <c r="J46" s="32"/>
      <c r="K46" s="37"/>
      <c r="L46" s="37"/>
      <c r="M46" s="81"/>
      <c r="N46" s="81"/>
      <c r="O46" s="96"/>
      <c r="P46" s="41"/>
      <c r="Q46" s="50"/>
      <c r="R46" s="107"/>
      <c r="S46" s="35"/>
      <c r="T46" s="35"/>
      <c r="U46" s="35"/>
      <c r="V46" s="35"/>
      <c r="W46" s="35"/>
      <c r="X46" s="35"/>
      <c r="Y46" s="35"/>
      <c r="Z46" s="35"/>
      <c r="AA46" s="35"/>
      <c r="AB46" s="35"/>
      <c r="AC46" s="35"/>
      <c r="AD46" s="35"/>
      <c r="AE46" s="35"/>
      <c r="AF46" s="35"/>
      <c r="AG46" s="35"/>
      <c r="AH46" s="35"/>
      <c r="AI46" s="35"/>
      <c r="AJ46" s="35"/>
      <c r="AK46" s="35"/>
      <c r="AL46" s="35"/>
      <c r="AM46" s="35"/>
      <c r="AN46" s="36"/>
      <c r="AO46" s="36"/>
      <c r="AP46" s="36"/>
      <c r="AQ46" s="36"/>
      <c r="AR46" s="36"/>
      <c r="AS46" s="36"/>
      <c r="AT46" s="36"/>
      <c r="AU46" s="36"/>
      <c r="AV46" s="36"/>
      <c r="AW46" s="36"/>
      <c r="AX46" s="36"/>
      <c r="AY46" s="36"/>
      <c r="AZ46" s="36"/>
      <c r="BA46" s="36"/>
      <c r="BB46" s="36"/>
      <c r="BC46" s="36"/>
      <c r="BD46" s="36"/>
      <c r="BE46" s="36"/>
    </row>
    <row r="47" spans="2:57" s="30" customFormat="1" ht="15" x14ac:dyDescent="0.2">
      <c r="B47" s="151" t="s">
        <v>356</v>
      </c>
      <c r="K47" s="37" t="s">
        <v>297</v>
      </c>
      <c r="L47" s="37" t="s">
        <v>185</v>
      </c>
      <c r="O47" s="253"/>
      <c r="Q47" s="129"/>
      <c r="R47" s="59" t="s">
        <v>318</v>
      </c>
      <c r="S47" s="104"/>
      <c r="T47" s="35" t="s">
        <v>246</v>
      </c>
      <c r="U47" s="35" t="s">
        <v>319</v>
      </c>
      <c r="V47" s="35" t="s">
        <v>320</v>
      </c>
      <c r="W47" s="35"/>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row>
    <row r="48" spans="2:57" s="30" customFormat="1" ht="15" x14ac:dyDescent="0.2">
      <c r="B48" s="44" t="s">
        <v>461</v>
      </c>
      <c r="C48" s="471" t="s">
        <v>300</v>
      </c>
      <c r="D48" s="472"/>
      <c r="E48" s="472"/>
      <c r="F48" s="472"/>
      <c r="G48" s="473"/>
      <c r="J48" s="32" t="s">
        <v>424</v>
      </c>
      <c r="K48" s="92" t="str">
        <f>IF(ISNUMBER(L48),L48,IF(C48=Kalusto!$C$33,Kalusto!$E$33*1/IF(C49=Pudotusvalikot!$V$4,Muut!$F$45*(Muut!$F$15+Muut!$F$18),IF(C49=Pudotusvalikot!$V$5,Muut!$F$46*(Muut!$F$16+Muut!$F$19),IF(C49=Pudotusvalikot!$V$6,Muut!$F$47*(Muut!$F$17+Muut!$F$20),(Muut!$F$11+Muut!$F$13)))),IF(C48=Pudotusvalikot!$D$67,"--",VLOOKUP(C48,Kalusto!$C$5:$E$42,3,FALSE)*VLOOKUP(C49,Muut!$D$40:$E$43,2,FALSE))))</f>
        <v>--</v>
      </c>
      <c r="L48" s="39"/>
      <c r="M48" s="40" t="s">
        <v>189</v>
      </c>
      <c r="N48" s="40"/>
      <c r="O48" s="259"/>
      <c r="P48" s="58"/>
      <c r="Q48" s="34"/>
      <c r="R48" s="48" t="str">
        <f>IF(ISNUMBER(K48*V48),K48*V48,"")</f>
        <v/>
      </c>
      <c r="S48" s="98" t="s">
        <v>160</v>
      </c>
      <c r="T48" s="48" t="str">
        <f>IF(ISNUMBER(C50),C50,"")</f>
        <v/>
      </c>
      <c r="U48" s="62" t="str">
        <f>IF(D50="h","",IF(ISNUMBER(C50),C50,""))</f>
        <v/>
      </c>
      <c r="V48" s="48" t="str">
        <f>IF(ISNUMBER(T48),IF(D50="h",C50,IF(ISNUMBER(T48*U48),IF(D50="m3/h",T48/U48,T48*U48),"")),"")</f>
        <v/>
      </c>
      <c r="W48" s="104"/>
      <c r="X48" s="59"/>
      <c r="Y48" s="35"/>
      <c r="Z48" s="35"/>
      <c r="AA48" s="35"/>
      <c r="AB48" s="35"/>
      <c r="AC48" s="35"/>
      <c r="AD48" s="35"/>
      <c r="AE48" s="35"/>
      <c r="AF48" s="35"/>
      <c r="AG48" s="35"/>
      <c r="AH48" s="35"/>
      <c r="AI48" s="35"/>
      <c r="AJ48" s="35"/>
      <c r="AK48" s="35"/>
      <c r="AL48" s="35"/>
      <c r="AM48" s="35"/>
      <c r="AN48" s="36"/>
      <c r="AO48" s="36"/>
      <c r="AP48" s="36"/>
      <c r="AQ48" s="36"/>
      <c r="AR48" s="36"/>
      <c r="AS48" s="36"/>
      <c r="AT48" s="36"/>
      <c r="AU48" s="36"/>
      <c r="AV48" s="36"/>
      <c r="AW48" s="36"/>
      <c r="AX48" s="36"/>
      <c r="AY48" s="36"/>
      <c r="AZ48" s="36"/>
      <c r="BA48" s="36"/>
      <c r="BB48" s="36"/>
      <c r="BC48" s="36"/>
      <c r="BD48" s="36"/>
      <c r="BE48" s="36"/>
    </row>
    <row r="49" spans="2:59" s="30" customFormat="1" ht="15" x14ac:dyDescent="0.2">
      <c r="B49" s="166" t="s">
        <v>460</v>
      </c>
      <c r="C49" s="156" t="s">
        <v>309</v>
      </c>
      <c r="D49" s="33"/>
      <c r="E49" s="33"/>
      <c r="F49" s="33"/>
      <c r="G49" s="33"/>
      <c r="J49" s="32"/>
      <c r="K49" s="32"/>
      <c r="L49" s="32"/>
      <c r="M49" s="32"/>
      <c r="N49" s="32"/>
      <c r="O49" s="265"/>
      <c r="P49" s="58"/>
      <c r="Q49" s="34"/>
      <c r="R49" s="59"/>
      <c r="S49" s="98"/>
      <c r="T49" s="59"/>
      <c r="U49" s="60"/>
      <c r="V49" s="59"/>
      <c r="W49" s="104"/>
      <c r="X49" s="59"/>
      <c r="Y49" s="35"/>
      <c r="Z49" s="35"/>
      <c r="AA49" s="35"/>
      <c r="AB49" s="35"/>
      <c r="AC49" s="35"/>
      <c r="AD49" s="35"/>
      <c r="AE49" s="35"/>
      <c r="AF49" s="35"/>
      <c r="AG49" s="35"/>
      <c r="AH49" s="35"/>
      <c r="AI49" s="35"/>
      <c r="AJ49" s="35"/>
      <c r="AK49" s="35"/>
      <c r="AL49" s="35"/>
      <c r="AM49" s="35"/>
      <c r="AN49" s="36"/>
      <c r="AO49" s="36"/>
      <c r="AP49" s="36"/>
      <c r="AQ49" s="36"/>
      <c r="AR49" s="36"/>
      <c r="AS49" s="36"/>
      <c r="AT49" s="36"/>
      <c r="AU49" s="36"/>
      <c r="AV49" s="36"/>
      <c r="AW49" s="36"/>
      <c r="AX49" s="36"/>
      <c r="AY49" s="36"/>
      <c r="AZ49" s="36"/>
      <c r="BA49" s="36"/>
      <c r="BB49" s="36"/>
      <c r="BC49" s="36"/>
      <c r="BD49" s="36"/>
      <c r="BE49" s="36"/>
    </row>
    <row r="50" spans="2:59" s="30" customFormat="1" ht="15" x14ac:dyDescent="0.2">
      <c r="B50" s="44" t="s">
        <v>357</v>
      </c>
      <c r="C50" s="155"/>
      <c r="D50" s="81" t="s">
        <v>51</v>
      </c>
      <c r="E50" s="33"/>
      <c r="F50" s="33"/>
      <c r="G50" s="33"/>
      <c r="J50" s="32"/>
      <c r="K50" s="33"/>
      <c r="L50" s="33"/>
      <c r="M50" s="81"/>
      <c r="N50" s="81"/>
      <c r="O50" s="96"/>
      <c r="P50" s="41"/>
      <c r="Q50" s="50"/>
      <c r="R50" s="107"/>
      <c r="S50" s="35"/>
      <c r="T50" s="35"/>
      <c r="U50" s="35"/>
      <c r="V50" s="35"/>
      <c r="W50" s="35"/>
      <c r="X50" s="35"/>
      <c r="Y50" s="35"/>
      <c r="Z50" s="35"/>
      <c r="AA50" s="35"/>
      <c r="AB50" s="35"/>
      <c r="AC50" s="35"/>
      <c r="AD50" s="35"/>
      <c r="AE50" s="35"/>
      <c r="AF50" s="35"/>
      <c r="AG50" s="35"/>
      <c r="AH50" s="35"/>
      <c r="AI50" s="35"/>
      <c r="AJ50" s="35"/>
      <c r="AK50" s="35"/>
      <c r="AL50" s="35"/>
      <c r="AM50" s="35"/>
      <c r="AN50" s="36"/>
      <c r="AO50" s="36"/>
      <c r="AP50" s="36"/>
      <c r="AQ50" s="36"/>
      <c r="AR50" s="36"/>
      <c r="AS50" s="36"/>
      <c r="AT50" s="36"/>
      <c r="AU50" s="36"/>
      <c r="AV50" s="36"/>
      <c r="AW50" s="36"/>
      <c r="AX50" s="36"/>
      <c r="AY50" s="36"/>
      <c r="AZ50" s="36"/>
      <c r="BA50" s="36"/>
      <c r="BB50" s="36"/>
      <c r="BC50" s="36"/>
      <c r="BD50" s="36"/>
      <c r="BE50" s="36"/>
    </row>
    <row r="51" spans="2:59" s="30" customFormat="1" ht="15" x14ac:dyDescent="0.2">
      <c r="C51" s="78"/>
      <c r="D51" s="81"/>
      <c r="G51" s="33"/>
      <c r="H51" s="81"/>
      <c r="J51" s="32"/>
      <c r="K51" s="33"/>
      <c r="L51" s="33"/>
      <c r="M51" s="81"/>
      <c r="N51" s="81"/>
      <c r="O51" s="81"/>
      <c r="Q51" s="34"/>
      <c r="R51" s="107"/>
      <c r="S51" s="35"/>
      <c r="T51" s="35"/>
      <c r="U51" s="35"/>
      <c r="V51" s="35"/>
      <c r="W51" s="35"/>
      <c r="X51" s="35"/>
      <c r="Y51" s="35"/>
      <c r="Z51" s="35"/>
      <c r="AA51" s="35"/>
      <c r="AB51" s="35"/>
      <c r="AC51" s="35"/>
      <c r="AD51" s="35"/>
      <c r="AE51" s="35"/>
      <c r="AF51" s="35"/>
      <c r="AG51" s="35"/>
      <c r="AH51" s="35"/>
      <c r="AI51" s="35"/>
      <c r="AJ51" s="35"/>
      <c r="AK51" s="35"/>
      <c r="AL51" s="35"/>
      <c r="AM51" s="35"/>
      <c r="AN51" s="36"/>
      <c r="AO51" s="36"/>
      <c r="AP51" s="36"/>
      <c r="AQ51" s="36"/>
      <c r="AR51" s="36"/>
      <c r="AS51" s="36"/>
      <c r="AT51" s="36"/>
      <c r="AU51" s="36"/>
      <c r="AV51" s="36"/>
      <c r="AW51" s="36"/>
      <c r="AX51" s="36"/>
      <c r="AY51" s="36"/>
      <c r="AZ51" s="36"/>
      <c r="BA51" s="36"/>
      <c r="BB51" s="36"/>
      <c r="BC51" s="36"/>
      <c r="BD51" s="36"/>
      <c r="BE51" s="36"/>
    </row>
    <row r="52" spans="2:59" s="289" customFormat="1" ht="18" x14ac:dyDescent="0.2">
      <c r="B52" s="286" t="s">
        <v>613</v>
      </c>
      <c r="C52" s="287"/>
      <c r="D52" s="288"/>
      <c r="G52" s="287"/>
      <c r="H52" s="288"/>
      <c r="K52" s="287"/>
      <c r="L52" s="287"/>
      <c r="M52" s="288"/>
      <c r="N52" s="288"/>
      <c r="O52" s="291"/>
      <c r="P52" s="311"/>
      <c r="Q52" s="295"/>
      <c r="S52" s="294"/>
      <c r="T52" s="294"/>
      <c r="U52" s="294"/>
      <c r="V52" s="294"/>
      <c r="W52" s="294"/>
      <c r="X52" s="294"/>
      <c r="Y52" s="294"/>
      <c r="Z52" s="294"/>
      <c r="AA52" s="294"/>
      <c r="AB52" s="294"/>
      <c r="AC52" s="294"/>
      <c r="AD52" s="294"/>
      <c r="AE52" s="294"/>
      <c r="AF52" s="294"/>
      <c r="AG52" s="294"/>
      <c r="AH52" s="294"/>
      <c r="AI52" s="294"/>
      <c r="AJ52" s="294"/>
      <c r="AK52" s="294"/>
      <c r="AL52" s="294"/>
      <c r="AM52" s="294"/>
      <c r="AN52" s="295"/>
      <c r="AO52" s="295"/>
      <c r="AP52" s="295"/>
      <c r="AQ52" s="295"/>
      <c r="AR52" s="295"/>
      <c r="AS52" s="295"/>
      <c r="AT52" s="295"/>
      <c r="AU52" s="295"/>
      <c r="AV52" s="295"/>
      <c r="AW52" s="295"/>
      <c r="AX52" s="295"/>
      <c r="AY52" s="295"/>
      <c r="AZ52" s="295"/>
      <c r="BA52" s="295"/>
      <c r="BB52" s="295"/>
      <c r="BC52" s="295"/>
      <c r="BD52" s="295"/>
      <c r="BE52" s="295"/>
    </row>
    <row r="53" spans="2:59" s="30" customFormat="1" ht="15" x14ac:dyDescent="0.2">
      <c r="B53" s="30" t="s">
        <v>736</v>
      </c>
      <c r="C53" s="33"/>
      <c r="D53" s="81"/>
      <c r="E53" s="33"/>
      <c r="F53" s="33"/>
      <c r="G53" s="37"/>
      <c r="H53" s="81"/>
      <c r="J53" s="32"/>
      <c r="K53" s="37"/>
      <c r="L53" s="37"/>
      <c r="M53" s="83"/>
      <c r="N53" s="83"/>
      <c r="O53" s="249"/>
      <c r="P53" s="37"/>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4"/>
      <c r="AQ53" s="54"/>
      <c r="AR53" s="54"/>
      <c r="AS53" s="54"/>
      <c r="AT53" s="54"/>
      <c r="AU53" s="54"/>
      <c r="AV53" s="54"/>
      <c r="AW53" s="54"/>
      <c r="AX53" s="54"/>
      <c r="AY53" s="54"/>
      <c r="AZ53" s="54"/>
      <c r="BA53" s="54"/>
      <c r="BB53" s="54"/>
      <c r="BC53" s="54"/>
      <c r="BD53" s="54"/>
      <c r="BE53" s="54"/>
      <c r="BF53" s="54"/>
      <c r="BG53" s="54"/>
    </row>
    <row r="54" spans="2:59" s="30" customFormat="1" ht="15.75" x14ac:dyDescent="0.2">
      <c r="B54" s="8"/>
      <c r="C54" s="33"/>
      <c r="D54" s="81"/>
      <c r="E54" s="33"/>
      <c r="F54" s="33"/>
      <c r="G54" s="37"/>
      <c r="H54" s="81"/>
      <c r="J54" s="32"/>
      <c r="K54" s="37"/>
      <c r="L54" s="37"/>
      <c r="M54" s="83"/>
      <c r="N54" s="83"/>
      <c r="O54" s="249" t="s">
        <v>584</v>
      </c>
      <c r="P54" s="37"/>
      <c r="Q54" s="34"/>
      <c r="R54" s="95"/>
      <c r="S54" s="35"/>
      <c r="T54" s="35"/>
      <c r="U54" s="35"/>
      <c r="V54" s="35"/>
      <c r="W54" s="35"/>
      <c r="X54" s="35"/>
      <c r="Y54" s="35"/>
      <c r="Z54" s="35"/>
      <c r="AA54" s="35"/>
      <c r="AB54" s="35"/>
      <c r="AC54" s="35"/>
      <c r="AD54" s="35"/>
      <c r="AE54" s="35"/>
      <c r="AF54" s="35"/>
      <c r="AG54" s="35"/>
      <c r="AH54" s="35"/>
      <c r="AI54" s="35"/>
      <c r="AJ54" s="35"/>
      <c r="AK54" s="35"/>
      <c r="AL54" s="35"/>
      <c r="AM54" s="35"/>
      <c r="AN54" s="36"/>
      <c r="AO54" s="36"/>
      <c r="AP54" s="36"/>
      <c r="AQ54" s="36"/>
      <c r="AR54" s="36"/>
      <c r="AS54" s="36"/>
      <c r="AT54" s="36"/>
      <c r="AU54" s="36"/>
      <c r="AV54" s="36"/>
      <c r="AW54" s="36"/>
      <c r="AX54" s="36"/>
      <c r="AY54" s="36"/>
      <c r="AZ54" s="36"/>
      <c r="BA54" s="36"/>
      <c r="BB54" s="36"/>
      <c r="BC54" s="36"/>
      <c r="BD54" s="36"/>
      <c r="BE54" s="36"/>
    </row>
    <row r="55" spans="2:59" s="30" customFormat="1" ht="15" x14ac:dyDescent="0.2">
      <c r="B55" s="151" t="s">
        <v>411</v>
      </c>
      <c r="C55" s="33" t="s">
        <v>50</v>
      </c>
      <c r="D55" s="81"/>
      <c r="E55" s="33"/>
      <c r="F55" s="33"/>
      <c r="G55" s="37" t="s">
        <v>183</v>
      </c>
      <c r="H55" s="81"/>
      <c r="J55" s="32"/>
      <c r="K55" s="37" t="s">
        <v>297</v>
      </c>
      <c r="L55" s="37" t="s">
        <v>185</v>
      </c>
      <c r="M55" s="83"/>
      <c r="N55" s="83"/>
      <c r="O55" s="250"/>
      <c r="P55" s="37"/>
      <c r="Q55" s="34"/>
      <c r="R55" s="59" t="s">
        <v>318</v>
      </c>
      <c r="S55" s="35"/>
      <c r="T55" s="35" t="s">
        <v>400</v>
      </c>
      <c r="U55" s="35" t="s">
        <v>399</v>
      </c>
      <c r="V55" s="35" t="s">
        <v>397</v>
      </c>
      <c r="W55" s="35" t="s">
        <v>398</v>
      </c>
      <c r="X55" s="35" t="s">
        <v>401</v>
      </c>
      <c r="Y55" s="35" t="s">
        <v>403</v>
      </c>
      <c r="Z55" s="35" t="s">
        <v>402</v>
      </c>
      <c r="AA55" s="35" t="s">
        <v>186</v>
      </c>
      <c r="AB55" s="35" t="s">
        <v>345</v>
      </c>
      <c r="AC55" s="35" t="s">
        <v>404</v>
      </c>
      <c r="AD55" s="35" t="s">
        <v>346</v>
      </c>
      <c r="AE55" s="35" t="s">
        <v>405</v>
      </c>
      <c r="AF55" s="35" t="s">
        <v>406</v>
      </c>
      <c r="AG55" s="35" t="s">
        <v>578</v>
      </c>
      <c r="AH55" s="35" t="s">
        <v>190</v>
      </c>
      <c r="AI55" s="35" t="s">
        <v>249</v>
      </c>
      <c r="AJ55" s="35" t="s">
        <v>191</v>
      </c>
      <c r="AK55" s="104"/>
      <c r="AL55" s="35"/>
      <c r="AM55" s="35"/>
      <c r="AN55" s="36"/>
      <c r="AO55" s="36"/>
      <c r="AP55" s="36"/>
      <c r="AQ55" s="36"/>
      <c r="AR55" s="36"/>
      <c r="AS55" s="36"/>
      <c r="AT55" s="36"/>
      <c r="AU55" s="36"/>
      <c r="AV55" s="36"/>
      <c r="AW55" s="36"/>
      <c r="AX55" s="36"/>
      <c r="AY55" s="36"/>
      <c r="AZ55" s="36"/>
      <c r="BA55" s="36"/>
      <c r="BB55" s="36"/>
      <c r="BC55" s="36"/>
      <c r="BD55" s="36"/>
      <c r="BE55" s="36"/>
    </row>
    <row r="56" spans="2:59" s="30" customFormat="1" ht="30" x14ac:dyDescent="0.2">
      <c r="B56" s="166" t="s">
        <v>464</v>
      </c>
      <c r="C56" s="156"/>
      <c r="D56" s="86" t="s">
        <v>163</v>
      </c>
      <c r="E56" s="172"/>
      <c r="F56" s="55"/>
      <c r="G56" s="157"/>
      <c r="H56" s="81" t="str">
        <f>IF(D56="t","t/t","t/m3")</f>
        <v>t/m3</v>
      </c>
      <c r="I56" s="166"/>
      <c r="J56" s="169" t="s">
        <v>395</v>
      </c>
      <c r="K56" s="92" t="str">
        <f>IFERROR(IF(ISNUMBER(L56),L56,(VLOOKUP(C57,Kalusto!$C$45:$G$84,5,FALSE)*VLOOKUP(C58,Muut!$D$40:$E$43,2,FALSE))),"--")</f>
        <v>--</v>
      </c>
      <c r="L56" s="39"/>
      <c r="M56" s="40" t="s">
        <v>184</v>
      </c>
      <c r="N56" s="40"/>
      <c r="O56" s="259"/>
      <c r="Q56" s="45"/>
      <c r="R56" s="48" t="str">
        <f>IF(AND(NOT(ISNUMBER(AB56)),NOT(ISNUMBER(AG56))),"",IF(ISNUMBER(AB56),AB56,0)+IF(ISNUMBER(AG56),AG56,0))</f>
        <v/>
      </c>
      <c r="S56" s="98" t="s">
        <v>160</v>
      </c>
      <c r="T56" s="46" t="str">
        <f>IFERROR(IF(ISNUMBER(L56),"Kohdetieto",VLOOKUP(C57,Kalusto!$C$45:$L$84,7,FALSE)),"--")</f>
        <v>--</v>
      </c>
      <c r="U56" s="46" t="str">
        <f>IFERROR(IF(ISNUMBER(L56),"Kohdetieto",VLOOKUP(C57,Kalusto!$C$45:$L$84,8,FALSE)),"--")</f>
        <v>--</v>
      </c>
      <c r="V56" s="47" t="str">
        <f>IFERROR(IF(ISNUMBER(L56),"Kohdetieto",VLOOKUP(C57,Kalusto!$C$45:$L$84,9,FALSE)),"--")</f>
        <v>--</v>
      </c>
      <c r="W56" s="47" t="str">
        <f>IFERROR(IF(ISNUMBER(L56),"Kohdetieto",VLOOKUP(C57,Kalusto!$C$45:$L$84,10,FALSE)),"--")</f>
        <v>--</v>
      </c>
      <c r="X56" s="48" t="str">
        <f>IF(ISBLANK(C56),"",IF(D56="t",C56,C56*G56))</f>
        <v/>
      </c>
      <c r="Y56" s="46" t="str">
        <f>IF(ISNUMBER(C59),C59,"")</f>
        <v/>
      </c>
      <c r="Z56" s="48" t="str">
        <f>IF(ISNUMBER(X56/(U56*V56)*Y56),X56/(U56*V56)*Y56,"")</f>
        <v/>
      </c>
      <c r="AA56" s="49" t="str">
        <f>IF(ISNUMBER(L56),L56,K56)</f>
        <v>--</v>
      </c>
      <c r="AB56" s="48" t="str">
        <f>IF(ISNUMBER(Y56*X56*K56),Y56*X56*K56,"")</f>
        <v/>
      </c>
      <c r="AC56" s="48" t="str">
        <f>IF(C81="Kyllä",Y56,"")</f>
        <v/>
      </c>
      <c r="AD56" s="48" t="str">
        <f>IF(C81="Kyllä",IF(ISNUMBER(X56/(U56*V56)),X56/(U56*V56),""),"")</f>
        <v/>
      </c>
      <c r="AE56" s="48" t="str">
        <f>IF(ISNUMBER(AD56*AC56),AD56*AC56,"")</f>
        <v/>
      </c>
      <c r="AF56" s="49" t="str">
        <f>IF(ISNUMBER(L57),L57,K57)</f>
        <v>--</v>
      </c>
      <c r="AG56" s="48" t="str">
        <f>IF(ISNUMBER(AC56*AD56*K57),AC56*AD56*K57,"")</f>
        <v/>
      </c>
      <c r="AH56" s="46">
        <f>IF(T56="Jakelukuorma-auto",0,IF(T56="Maansiirtoauto",4,IF(T56="Puoliperävaunu",6,8)))</f>
        <v>8</v>
      </c>
      <c r="AI56" s="46">
        <f>IF(AND(T56="Jakelukuorma-auto",U56=6),0,IF(AND(T56="Jakelukuorma-auto",U56=15),2,0))</f>
        <v>0</v>
      </c>
      <c r="AJ56" s="46">
        <f>IF(W56="maantieajo",0,1)</f>
        <v>1</v>
      </c>
      <c r="AK56" s="104"/>
      <c r="AL56" s="35"/>
      <c r="AM56" s="35"/>
      <c r="AN56" s="36"/>
      <c r="AO56" s="36"/>
      <c r="AP56" s="36"/>
      <c r="AQ56" s="36"/>
      <c r="AR56" s="36"/>
      <c r="AS56" s="36"/>
      <c r="AT56" s="36"/>
      <c r="AU56" s="36"/>
      <c r="AV56" s="36"/>
      <c r="AW56" s="36"/>
      <c r="AX56" s="36"/>
      <c r="AY56" s="36"/>
      <c r="AZ56" s="36"/>
      <c r="BA56" s="36"/>
      <c r="BB56" s="36"/>
      <c r="BC56" s="36"/>
      <c r="BD56" s="36"/>
      <c r="BE56" s="36"/>
    </row>
    <row r="57" spans="2:59" s="30" customFormat="1" ht="30" x14ac:dyDescent="0.2">
      <c r="B57" s="166" t="s">
        <v>463</v>
      </c>
      <c r="C57" s="471" t="s">
        <v>298</v>
      </c>
      <c r="D57" s="472"/>
      <c r="E57" s="472"/>
      <c r="F57" s="472"/>
      <c r="G57" s="473"/>
      <c r="H57" s="52"/>
      <c r="J57" s="32" t="s">
        <v>396</v>
      </c>
      <c r="K57" s="92" t="str">
        <f>IFERROR(IF(ISNUMBER(L57),L57,IF($C$81="Ei","",(VLOOKUP(C57,Kalusto!$C$45:$V$84,19,FALSE)*(VLOOKUP(C58,Muut!$D$40:$E$43,2,FALSE))))),"--")</f>
        <v>--</v>
      </c>
      <c r="L57" s="39"/>
      <c r="M57" s="40" t="s">
        <v>188</v>
      </c>
      <c r="N57" s="40"/>
      <c r="O57" s="259"/>
      <c r="P57" s="33"/>
      <c r="Q57" s="50"/>
      <c r="R57" s="35"/>
      <c r="S57" s="35"/>
      <c r="T57" s="35"/>
      <c r="U57" s="35"/>
      <c r="V57" s="35"/>
      <c r="W57" s="35"/>
      <c r="X57" s="35"/>
      <c r="Y57" s="35"/>
      <c r="Z57" s="35"/>
      <c r="AA57" s="35"/>
      <c r="AB57" s="35"/>
      <c r="AC57" s="35"/>
      <c r="AD57" s="35"/>
      <c r="AE57" s="35"/>
      <c r="AF57" s="35"/>
      <c r="AG57" s="35"/>
      <c r="AH57" s="35"/>
      <c r="AI57" s="35"/>
      <c r="AJ57" s="35"/>
      <c r="AK57" s="104"/>
      <c r="AL57" s="35"/>
      <c r="AM57" s="35"/>
      <c r="AN57" s="36"/>
      <c r="AO57" s="36"/>
      <c r="AP57" s="36"/>
      <c r="AQ57" s="36"/>
      <c r="AR57" s="36"/>
      <c r="AS57" s="36"/>
      <c r="AT57" s="36"/>
      <c r="AU57" s="36"/>
      <c r="AV57" s="36"/>
      <c r="AW57" s="36"/>
      <c r="AX57" s="36"/>
      <c r="AY57" s="36"/>
      <c r="AZ57" s="36"/>
      <c r="BA57" s="36"/>
      <c r="BB57" s="36"/>
      <c r="BC57" s="36"/>
      <c r="BD57" s="36"/>
      <c r="BE57" s="36"/>
    </row>
    <row r="58" spans="2:59" s="30" customFormat="1" ht="15" x14ac:dyDescent="0.2">
      <c r="B58" s="182" t="s">
        <v>457</v>
      </c>
      <c r="C58" s="156" t="s">
        <v>309</v>
      </c>
      <c r="D58" s="33"/>
      <c r="E58" s="33"/>
      <c r="F58" s="33"/>
      <c r="G58" s="33"/>
      <c r="H58" s="57"/>
      <c r="J58" s="169"/>
      <c r="K58" s="169"/>
      <c r="L58" s="169"/>
      <c r="M58" s="40"/>
      <c r="N58" s="40"/>
      <c r="O58" s="259"/>
      <c r="Q58" s="45"/>
      <c r="R58" s="98"/>
      <c r="S58" s="98"/>
      <c r="T58" s="35"/>
      <c r="U58" s="35"/>
      <c r="V58" s="177"/>
      <c r="W58" s="177"/>
      <c r="X58" s="59"/>
      <c r="Y58" s="35"/>
      <c r="Z58" s="59"/>
      <c r="AA58" s="178"/>
      <c r="AB58" s="59"/>
      <c r="AC58" s="59"/>
      <c r="AD58" s="59"/>
      <c r="AE58" s="59"/>
      <c r="AF58" s="178"/>
      <c r="AG58" s="59"/>
      <c r="AH58" s="35"/>
      <c r="AI58" s="35"/>
      <c r="AJ58" s="35"/>
      <c r="AK58" s="104"/>
      <c r="AL58" s="35"/>
      <c r="AM58" s="35"/>
      <c r="AN58" s="36"/>
      <c r="AO58" s="36"/>
      <c r="AP58" s="36"/>
      <c r="AQ58" s="36"/>
      <c r="AR58" s="36"/>
      <c r="AS58" s="36"/>
      <c r="AT58" s="36"/>
      <c r="AU58" s="36"/>
      <c r="AV58" s="36"/>
      <c r="AW58" s="36"/>
      <c r="AX58" s="36"/>
      <c r="AY58" s="36"/>
      <c r="AZ58" s="36"/>
      <c r="BA58" s="36"/>
      <c r="BB58" s="36"/>
      <c r="BC58" s="36"/>
      <c r="BD58" s="36"/>
      <c r="BE58" s="36"/>
    </row>
    <row r="59" spans="2:59" s="30" customFormat="1" ht="15" x14ac:dyDescent="0.2">
      <c r="B59" s="44" t="s">
        <v>465</v>
      </c>
      <c r="C59" s="156"/>
      <c r="D59" s="81" t="s">
        <v>5</v>
      </c>
      <c r="G59" s="33"/>
      <c r="H59" s="52"/>
      <c r="J59" s="51"/>
      <c r="K59" s="33"/>
      <c r="L59" s="33"/>
      <c r="M59" s="81"/>
      <c r="N59" s="81"/>
      <c r="O59" s="96"/>
      <c r="P59" s="51"/>
      <c r="Q59" s="50"/>
      <c r="R59" s="35"/>
      <c r="S59" s="35"/>
      <c r="T59" s="35"/>
      <c r="U59" s="35"/>
      <c r="V59" s="35"/>
      <c r="W59" s="35"/>
      <c r="X59" s="35"/>
      <c r="Y59" s="35"/>
      <c r="Z59" s="35"/>
      <c r="AA59" s="35"/>
      <c r="AB59" s="35"/>
      <c r="AC59" s="35"/>
      <c r="AD59" s="35"/>
      <c r="AE59" s="35"/>
      <c r="AF59" s="35"/>
      <c r="AG59" s="35"/>
      <c r="AH59" s="35"/>
      <c r="AI59" s="35"/>
      <c r="AJ59" s="35"/>
      <c r="AK59" s="104"/>
      <c r="AL59" s="35"/>
      <c r="AM59" s="35"/>
      <c r="AN59" s="36"/>
      <c r="AO59" s="36"/>
      <c r="AP59" s="36"/>
      <c r="AQ59" s="36"/>
      <c r="AR59" s="36"/>
      <c r="AS59" s="36"/>
      <c r="AT59" s="36"/>
      <c r="AU59" s="36"/>
      <c r="AV59" s="36"/>
      <c r="AW59" s="36"/>
      <c r="AX59" s="36"/>
      <c r="AY59" s="36"/>
      <c r="AZ59" s="36"/>
      <c r="BA59" s="36"/>
      <c r="BB59" s="36"/>
      <c r="BC59" s="36"/>
      <c r="BD59" s="36"/>
      <c r="BE59" s="36"/>
    </row>
    <row r="60" spans="2:59" s="30" customFormat="1" ht="15" x14ac:dyDescent="0.2">
      <c r="B60" s="151" t="s">
        <v>412</v>
      </c>
      <c r="C60" s="33"/>
      <c r="D60" s="81"/>
      <c r="G60" s="33"/>
      <c r="H60" s="81"/>
      <c r="J60" s="32"/>
      <c r="K60" s="37" t="s">
        <v>297</v>
      </c>
      <c r="L60" s="37" t="s">
        <v>185</v>
      </c>
      <c r="M60" s="81"/>
      <c r="N60" s="81"/>
      <c r="O60" s="96"/>
      <c r="P60" s="33"/>
      <c r="Q60" s="34"/>
      <c r="R60" s="59" t="s">
        <v>318</v>
      </c>
      <c r="S60" s="35"/>
      <c r="T60" s="35" t="s">
        <v>400</v>
      </c>
      <c r="U60" s="35" t="s">
        <v>399</v>
      </c>
      <c r="V60" s="35" t="s">
        <v>397</v>
      </c>
      <c r="W60" s="35" t="s">
        <v>398</v>
      </c>
      <c r="X60" s="35" t="s">
        <v>401</v>
      </c>
      <c r="Y60" s="35" t="s">
        <v>403</v>
      </c>
      <c r="Z60" s="35" t="s">
        <v>402</v>
      </c>
      <c r="AA60" s="35" t="s">
        <v>186</v>
      </c>
      <c r="AB60" s="35" t="s">
        <v>345</v>
      </c>
      <c r="AC60" s="35" t="s">
        <v>404</v>
      </c>
      <c r="AD60" s="35" t="s">
        <v>346</v>
      </c>
      <c r="AE60" s="35" t="s">
        <v>405</v>
      </c>
      <c r="AF60" s="35" t="s">
        <v>406</v>
      </c>
      <c r="AG60" s="35" t="s">
        <v>578</v>
      </c>
      <c r="AH60" s="35" t="s">
        <v>190</v>
      </c>
      <c r="AI60" s="35" t="s">
        <v>249</v>
      </c>
      <c r="AJ60" s="35" t="s">
        <v>191</v>
      </c>
      <c r="AK60" s="104"/>
      <c r="AL60" s="35"/>
      <c r="AM60" s="35"/>
      <c r="AN60" s="36"/>
      <c r="AO60" s="36"/>
      <c r="AP60" s="36"/>
      <c r="AQ60" s="36"/>
      <c r="AR60" s="36"/>
      <c r="AS60" s="36"/>
      <c r="AT60" s="36"/>
      <c r="AU60" s="36"/>
      <c r="AV60" s="36"/>
      <c r="AW60" s="36"/>
      <c r="AX60" s="36"/>
      <c r="AY60" s="36"/>
      <c r="AZ60" s="36"/>
      <c r="BA60" s="36"/>
      <c r="BB60" s="36"/>
      <c r="BC60" s="36"/>
      <c r="BD60" s="36"/>
      <c r="BE60" s="36"/>
    </row>
    <row r="61" spans="2:59" s="30" customFormat="1" ht="30" x14ac:dyDescent="0.2">
      <c r="B61" s="166" t="s">
        <v>464</v>
      </c>
      <c r="C61" s="157"/>
      <c r="D61" s="86" t="s">
        <v>390</v>
      </c>
      <c r="E61" s="172"/>
      <c r="F61" s="55"/>
      <c r="G61" s="157"/>
      <c r="H61" s="81" t="str">
        <f>IF(D61="t","t/t","t/m3")</f>
        <v>t/m3</v>
      </c>
      <c r="J61" s="169" t="s">
        <v>395</v>
      </c>
      <c r="K61" s="92" t="str">
        <f>IFERROR(IF(ISNUMBER(L61),L61,(VLOOKUP(C62,Kalusto!$C$45:$G$84,5,FALSE)*VLOOKUP(C63,Muut!$D$40:$E$43,2,FALSE))),"--")</f>
        <v>--</v>
      </c>
      <c r="L61" s="39"/>
      <c r="M61" s="40" t="s">
        <v>184</v>
      </c>
      <c r="N61" s="40"/>
      <c r="O61" s="259"/>
      <c r="Q61" s="45"/>
      <c r="R61" s="48" t="str">
        <f>IF(AND(NOT(ISNUMBER(AB61)),NOT(ISNUMBER(AG61))),"",IF(ISNUMBER(AB61),AB61,0)+IF(ISNUMBER(AG61),AG61,0))</f>
        <v/>
      </c>
      <c r="S61" s="98" t="s">
        <v>160</v>
      </c>
      <c r="T61" s="46" t="str">
        <f>IFERROR(IF(ISNUMBER(L61),"Kohdetieto",VLOOKUP(C62,Kalusto!$C$45:$L$84,7,FALSE)),"--")</f>
        <v>--</v>
      </c>
      <c r="U61" s="46" t="str">
        <f>IFERROR(IF(ISNUMBER(L61),"Kohdetieto",VLOOKUP(C62,Kalusto!$C$45:$L$84,8,FALSE)),"--")</f>
        <v>--</v>
      </c>
      <c r="V61" s="47" t="str">
        <f>IFERROR(IF(ISNUMBER(L61),"Kohdetieto",VLOOKUP(C62,Kalusto!$C$45:$L$84,9,FALSE)),"--")</f>
        <v>--</v>
      </c>
      <c r="W61" s="47" t="str">
        <f>IFERROR(IF(ISNUMBER(L61),"Kohdetieto",VLOOKUP(C62,Kalusto!$C$45:$L$84,10,FALSE)),"--")</f>
        <v>--</v>
      </c>
      <c r="X61" s="48" t="str">
        <f>IF(ISBLANK(C61),"",IF(D61="t",C61,C61*G61))</f>
        <v/>
      </c>
      <c r="Y61" s="46" t="str">
        <f>IF(ISNUMBER(C64),C64,"")</f>
        <v/>
      </c>
      <c r="Z61" s="48" t="str">
        <f>IF(ISNUMBER(X61/(U61*V61)*Y61),X61/(U61*V61)*Y61,"")</f>
        <v/>
      </c>
      <c r="AA61" s="49" t="str">
        <f>IF(ISNUMBER(L61),L61,K61)</f>
        <v>--</v>
      </c>
      <c r="AB61" s="48" t="str">
        <f>IF(ISNUMBER(Y61*X61*K61),Y61*X61*K61,"")</f>
        <v/>
      </c>
      <c r="AC61" s="48" t="str">
        <f>IF(C81="Kyllä",Y61,"")</f>
        <v/>
      </c>
      <c r="AD61" s="48" t="str">
        <f>IF(C81="Kyllä",IF(ISNUMBER(X61/(U61*V61)),X61/(U61*V61),""),"")</f>
        <v/>
      </c>
      <c r="AE61" s="48" t="str">
        <f>IF(ISNUMBER(AD61*AC61),AD61*AC61,"")</f>
        <v/>
      </c>
      <c r="AF61" s="49" t="str">
        <f>IF(ISNUMBER(L62),L62,K62)</f>
        <v>--</v>
      </c>
      <c r="AG61" s="48" t="str">
        <f>IF(ISNUMBER(AC61*AD61*K62),AC61*AD61*K62,"")</f>
        <v/>
      </c>
      <c r="AH61" s="46">
        <f>IF(T61="Jakelukuorma-auto",0,IF(T61="Maansiirtoauto",4,IF(T61="Puoliperävaunu",6,8)))</f>
        <v>8</v>
      </c>
      <c r="AI61" s="46">
        <f>IF(AND(T61="Jakelukuorma-auto",U61=6),0,IF(AND(T61="Jakelukuorma-auto",U61=15),2,0))</f>
        <v>0</v>
      </c>
      <c r="AJ61" s="46">
        <f>IF(W61="maantieajo",0,1)</f>
        <v>1</v>
      </c>
      <c r="AK61" s="104"/>
      <c r="AL61" s="35"/>
      <c r="AM61" s="35"/>
      <c r="AN61" s="36"/>
      <c r="AO61" s="36"/>
      <c r="AP61" s="36"/>
      <c r="AQ61" s="36"/>
      <c r="AR61" s="36"/>
      <c r="AS61" s="36"/>
      <c r="AT61" s="36"/>
      <c r="AU61" s="36"/>
      <c r="AV61" s="36"/>
      <c r="AW61" s="36"/>
      <c r="AX61" s="36"/>
      <c r="AY61" s="36"/>
      <c r="AZ61" s="36"/>
      <c r="BA61" s="36"/>
      <c r="BB61" s="36"/>
      <c r="BC61" s="36"/>
      <c r="BD61" s="36"/>
      <c r="BE61" s="36"/>
    </row>
    <row r="62" spans="2:59" s="30" customFormat="1" ht="30" x14ac:dyDescent="0.2">
      <c r="B62" s="166" t="s">
        <v>463</v>
      </c>
      <c r="C62" s="471" t="s">
        <v>298</v>
      </c>
      <c r="D62" s="472"/>
      <c r="E62" s="472"/>
      <c r="F62" s="472"/>
      <c r="G62" s="473"/>
      <c r="H62" s="81"/>
      <c r="J62" s="32" t="s">
        <v>396</v>
      </c>
      <c r="K62" s="92" t="str">
        <f>IFERROR(IF(ISNUMBER(L62),L62,IF($C$81="Ei","",(VLOOKUP(C62,Kalusto!$C$45:$V$84,19,FALSE)*(VLOOKUP(C63,Muut!$D$40:$E$43,2,FALSE))))),"--")</f>
        <v>--</v>
      </c>
      <c r="L62" s="39"/>
      <c r="M62" s="40" t="s">
        <v>188</v>
      </c>
      <c r="N62" s="40"/>
      <c r="O62" s="259"/>
      <c r="P62" s="33"/>
      <c r="Q62" s="50"/>
      <c r="R62" s="35"/>
      <c r="S62" s="35"/>
      <c r="T62" s="35"/>
      <c r="U62" s="35"/>
      <c r="V62" s="35"/>
      <c r="W62" s="35"/>
      <c r="X62" s="35"/>
      <c r="Y62" s="35"/>
      <c r="Z62" s="35"/>
      <c r="AA62" s="35"/>
      <c r="AB62" s="35"/>
      <c r="AC62" s="35"/>
      <c r="AD62" s="35"/>
      <c r="AE62" s="35"/>
      <c r="AF62" s="35"/>
      <c r="AG62" s="35"/>
      <c r="AH62" s="35"/>
      <c r="AI62" s="35"/>
      <c r="AJ62" s="35"/>
      <c r="AK62" s="104"/>
      <c r="AL62" s="35"/>
      <c r="AM62" s="35"/>
      <c r="AN62" s="36"/>
      <c r="AO62" s="36"/>
      <c r="AP62" s="36"/>
      <c r="AQ62" s="36"/>
      <c r="AR62" s="36"/>
      <c r="AS62" s="36"/>
      <c r="AT62" s="36"/>
      <c r="AU62" s="36"/>
      <c r="AV62" s="36"/>
      <c r="AW62" s="36"/>
      <c r="AX62" s="36"/>
      <c r="AY62" s="36"/>
      <c r="AZ62" s="36"/>
      <c r="BA62" s="36"/>
      <c r="BB62" s="36"/>
      <c r="BC62" s="36"/>
      <c r="BD62" s="36"/>
      <c r="BE62" s="36"/>
    </row>
    <row r="63" spans="2:59" s="30" customFormat="1" ht="15" x14ac:dyDescent="0.2">
      <c r="B63" s="182" t="s">
        <v>457</v>
      </c>
      <c r="C63" s="156" t="s">
        <v>309</v>
      </c>
      <c r="D63" s="33"/>
      <c r="E63" s="33"/>
      <c r="F63" s="33"/>
      <c r="G63" s="33"/>
      <c r="H63" s="57"/>
      <c r="J63" s="169"/>
      <c r="K63" s="169"/>
      <c r="L63" s="169"/>
      <c r="M63" s="40"/>
      <c r="N63" s="40"/>
      <c r="O63" s="259"/>
      <c r="Q63" s="45"/>
      <c r="R63" s="98"/>
      <c r="S63" s="98"/>
      <c r="T63" s="35"/>
      <c r="U63" s="35"/>
      <c r="V63" s="177"/>
      <c r="W63" s="177"/>
      <c r="X63" s="59"/>
      <c r="Y63" s="35"/>
      <c r="Z63" s="59"/>
      <c r="AA63" s="178"/>
      <c r="AB63" s="59"/>
      <c r="AC63" s="59"/>
      <c r="AD63" s="59"/>
      <c r="AE63" s="59"/>
      <c r="AF63" s="178"/>
      <c r="AG63" s="59"/>
      <c r="AH63" s="35"/>
      <c r="AI63" s="35"/>
      <c r="AJ63" s="35"/>
      <c r="AK63" s="104"/>
      <c r="AL63" s="35"/>
      <c r="AM63" s="35"/>
      <c r="AN63" s="36"/>
      <c r="AO63" s="36"/>
      <c r="AP63" s="36"/>
      <c r="AQ63" s="36"/>
      <c r="AR63" s="36"/>
      <c r="AS63" s="36"/>
      <c r="AT63" s="36"/>
      <c r="AU63" s="36"/>
      <c r="AV63" s="36"/>
      <c r="AW63" s="36"/>
      <c r="AX63" s="36"/>
      <c r="AY63" s="36"/>
      <c r="AZ63" s="36"/>
      <c r="BA63" s="36"/>
      <c r="BB63" s="36"/>
      <c r="BC63" s="36"/>
      <c r="BD63" s="36"/>
      <c r="BE63" s="36"/>
    </row>
    <row r="64" spans="2:59" s="30" customFormat="1" ht="15" x14ac:dyDescent="0.2">
      <c r="B64" s="44" t="s">
        <v>465</v>
      </c>
      <c r="C64" s="158"/>
      <c r="D64" s="81" t="s">
        <v>5</v>
      </c>
      <c r="G64" s="33"/>
      <c r="H64" s="81"/>
      <c r="J64" s="51"/>
      <c r="K64" s="33"/>
      <c r="L64" s="33"/>
      <c r="M64" s="81"/>
      <c r="N64" s="81"/>
      <c r="O64" s="96"/>
      <c r="P64" s="51"/>
      <c r="Q64" s="50"/>
      <c r="R64" s="35"/>
      <c r="S64" s="35"/>
      <c r="T64" s="35"/>
      <c r="U64" s="35"/>
      <c r="V64" s="35"/>
      <c r="W64" s="35"/>
      <c r="X64" s="35"/>
      <c r="Y64" s="35"/>
      <c r="Z64" s="35"/>
      <c r="AA64" s="35"/>
      <c r="AB64" s="35"/>
      <c r="AC64" s="35"/>
      <c r="AD64" s="35"/>
      <c r="AE64" s="35"/>
      <c r="AF64" s="35"/>
      <c r="AG64" s="35"/>
      <c r="AH64" s="35"/>
      <c r="AI64" s="35"/>
      <c r="AJ64" s="35"/>
      <c r="AK64" s="104"/>
      <c r="AL64" s="35"/>
      <c r="AM64" s="35"/>
      <c r="AN64" s="36"/>
      <c r="AO64" s="36"/>
      <c r="AP64" s="36"/>
      <c r="AQ64" s="36"/>
      <c r="AR64" s="36"/>
      <c r="AS64" s="36"/>
      <c r="AT64" s="36"/>
      <c r="AU64" s="36"/>
      <c r="AV64" s="36"/>
      <c r="AW64" s="36"/>
      <c r="AX64" s="36"/>
      <c r="AY64" s="36"/>
      <c r="AZ64" s="36"/>
      <c r="BA64" s="36"/>
      <c r="BB64" s="36"/>
      <c r="BC64" s="36"/>
      <c r="BD64" s="36"/>
      <c r="BE64" s="36"/>
    </row>
    <row r="65" spans="2:57" s="30" customFormat="1" ht="15" x14ac:dyDescent="0.2">
      <c r="B65" s="151" t="s">
        <v>413</v>
      </c>
      <c r="C65" s="33"/>
      <c r="D65" s="81"/>
      <c r="G65" s="33"/>
      <c r="H65" s="81"/>
      <c r="J65" s="32"/>
      <c r="K65" s="37" t="s">
        <v>297</v>
      </c>
      <c r="L65" s="37" t="s">
        <v>185</v>
      </c>
      <c r="M65" s="81"/>
      <c r="N65" s="81"/>
      <c r="O65" s="96"/>
      <c r="P65" s="33"/>
      <c r="Q65" s="34"/>
      <c r="R65" s="59" t="s">
        <v>318</v>
      </c>
      <c r="S65" s="35"/>
      <c r="T65" s="35" t="s">
        <v>400</v>
      </c>
      <c r="U65" s="35" t="s">
        <v>399</v>
      </c>
      <c r="V65" s="35" t="s">
        <v>397</v>
      </c>
      <c r="W65" s="35" t="s">
        <v>398</v>
      </c>
      <c r="X65" s="35" t="s">
        <v>401</v>
      </c>
      <c r="Y65" s="35" t="s">
        <v>403</v>
      </c>
      <c r="Z65" s="35" t="s">
        <v>402</v>
      </c>
      <c r="AA65" s="35" t="s">
        <v>186</v>
      </c>
      <c r="AB65" s="35" t="s">
        <v>345</v>
      </c>
      <c r="AC65" s="35" t="s">
        <v>404</v>
      </c>
      <c r="AD65" s="35" t="s">
        <v>346</v>
      </c>
      <c r="AE65" s="35" t="s">
        <v>405</v>
      </c>
      <c r="AF65" s="35" t="s">
        <v>406</v>
      </c>
      <c r="AG65" s="35" t="s">
        <v>578</v>
      </c>
      <c r="AH65" s="35" t="s">
        <v>190</v>
      </c>
      <c r="AI65" s="35" t="s">
        <v>249</v>
      </c>
      <c r="AJ65" s="35" t="s">
        <v>191</v>
      </c>
      <c r="AK65" s="104"/>
      <c r="AL65" s="35"/>
      <c r="AM65" s="35"/>
      <c r="AN65" s="36"/>
      <c r="AO65" s="36"/>
      <c r="AP65" s="36"/>
      <c r="AQ65" s="36"/>
      <c r="AR65" s="36"/>
      <c r="AS65" s="36"/>
      <c r="AT65" s="36"/>
      <c r="AU65" s="36"/>
      <c r="AV65" s="36"/>
      <c r="AW65" s="36"/>
      <c r="AX65" s="36"/>
      <c r="AY65" s="36"/>
      <c r="AZ65" s="36"/>
      <c r="BA65" s="36"/>
      <c r="BB65" s="36"/>
      <c r="BC65" s="36"/>
      <c r="BD65" s="36"/>
      <c r="BE65" s="36"/>
    </row>
    <row r="66" spans="2:57" s="30" customFormat="1" ht="30" x14ac:dyDescent="0.2">
      <c r="B66" s="166" t="s">
        <v>464</v>
      </c>
      <c r="C66" s="157"/>
      <c r="D66" s="86" t="s">
        <v>163</v>
      </c>
      <c r="E66" s="172"/>
      <c r="F66" s="55"/>
      <c r="G66" s="157"/>
      <c r="H66" s="81" t="str">
        <f>IF(D66="t","t/t","t/m3")</f>
        <v>t/m3</v>
      </c>
      <c r="J66" s="169" t="s">
        <v>395</v>
      </c>
      <c r="K66" s="92" t="str">
        <f>IFERROR(IF(ISNUMBER(L66),L66,(VLOOKUP(C67,Kalusto!$C$45:$G$84,5,FALSE)*VLOOKUP(C68,Muut!$D$40:$E$43,2,FALSE))),"--")</f>
        <v>--</v>
      </c>
      <c r="L66" s="39"/>
      <c r="M66" s="40" t="s">
        <v>184</v>
      </c>
      <c r="N66" s="40"/>
      <c r="O66" s="259"/>
      <c r="Q66" s="45"/>
      <c r="R66" s="48" t="str">
        <f>IF(AND(NOT(ISNUMBER(AB66)),NOT(ISNUMBER(AG66))),"",IF(ISNUMBER(AB66),AB66,0)+IF(ISNUMBER(AG66),AG66,0))</f>
        <v/>
      </c>
      <c r="S66" s="98" t="s">
        <v>160</v>
      </c>
      <c r="T66" s="46" t="str">
        <f>IFERROR(IF(ISNUMBER(L66),"Kohdetieto",VLOOKUP(C67,Kalusto!$C$45:$L$84,7,FALSE)),"--")</f>
        <v>--</v>
      </c>
      <c r="U66" s="46" t="str">
        <f>IFERROR(IF(ISNUMBER(L66),"Kohdetieto",VLOOKUP(C67,Kalusto!$C$45:$L$84,8,FALSE)),"--")</f>
        <v>--</v>
      </c>
      <c r="V66" s="47" t="str">
        <f>IFERROR(IF(ISNUMBER(L66),"Kohdetieto",VLOOKUP(C67,Kalusto!$C$45:$L$84,9,FALSE)),"--")</f>
        <v>--</v>
      </c>
      <c r="W66" s="47" t="str">
        <f>IFERROR(IF(ISNUMBER(L66),"Kohdetieto",VLOOKUP(C67,Kalusto!$C$45:$L$84,10,FALSE)),"--")</f>
        <v>--</v>
      </c>
      <c r="X66" s="48" t="str">
        <f>IF(ISBLANK(C66),"",IF(D66="t",C66,C66*G66))</f>
        <v/>
      </c>
      <c r="Y66" s="46" t="str">
        <f>IF(ISNUMBER(C69),C69,"")</f>
        <v/>
      </c>
      <c r="Z66" s="48" t="str">
        <f>IF(ISNUMBER(X66/(U66*V66)*Y66),X66/(U66*V66)*Y66,"")</f>
        <v/>
      </c>
      <c r="AA66" s="49" t="str">
        <f>IF(ISNUMBER(L66),L66,K66)</f>
        <v>--</v>
      </c>
      <c r="AB66" s="48" t="str">
        <f>IF(ISNUMBER(Y66*X66*K66),Y66*X66*K66,"")</f>
        <v/>
      </c>
      <c r="AC66" s="48" t="str">
        <f>IF(C81="Kyllä",Y66,"")</f>
        <v/>
      </c>
      <c r="AD66" s="48" t="str">
        <f>IF(C81="Kyllä",IF(ISNUMBER(X66/(U66*V66)),X66/(U66*V66),""),"")</f>
        <v/>
      </c>
      <c r="AE66" s="48" t="str">
        <f>IF(ISNUMBER(AD66*AC66),AD66*AC66,"")</f>
        <v/>
      </c>
      <c r="AF66" s="49" t="str">
        <f>IF(ISNUMBER(L67),L67,K67)</f>
        <v>--</v>
      </c>
      <c r="AG66" s="48" t="str">
        <f>IF(ISNUMBER(AC66*AD66*K67),AC66*AD66*K67,"")</f>
        <v/>
      </c>
      <c r="AH66" s="46">
        <f>IF(T66="Jakelukuorma-auto",0,IF(T66="Maansiirtoauto",4,IF(T66="Puoliperävaunu",6,8)))</f>
        <v>8</v>
      </c>
      <c r="AI66" s="46">
        <f>IF(AND(T66="Jakelukuorma-auto",U66=6),0,IF(AND(T66="Jakelukuorma-auto",U66=15),2,0))</f>
        <v>0</v>
      </c>
      <c r="AJ66" s="46">
        <f>IF(W66="maantieajo",0,1)</f>
        <v>1</v>
      </c>
      <c r="AK66" s="104"/>
      <c r="AL66" s="35"/>
      <c r="AM66" s="35"/>
      <c r="AN66" s="36"/>
      <c r="AO66" s="36"/>
      <c r="AP66" s="36"/>
      <c r="AQ66" s="36"/>
      <c r="AR66" s="36"/>
      <c r="AS66" s="36"/>
      <c r="AT66" s="36"/>
      <c r="AU66" s="36"/>
      <c r="AV66" s="36"/>
      <c r="AW66" s="36"/>
      <c r="AX66" s="36"/>
      <c r="AY66" s="36"/>
      <c r="AZ66" s="36"/>
      <c r="BA66" s="36"/>
      <c r="BB66" s="36"/>
      <c r="BC66" s="36"/>
      <c r="BD66" s="36"/>
      <c r="BE66" s="36"/>
    </row>
    <row r="67" spans="2:57" s="30" customFormat="1" ht="30" x14ac:dyDescent="0.2">
      <c r="B67" s="166" t="s">
        <v>463</v>
      </c>
      <c r="C67" s="471" t="s">
        <v>298</v>
      </c>
      <c r="D67" s="472"/>
      <c r="E67" s="472"/>
      <c r="F67" s="472"/>
      <c r="G67" s="473"/>
      <c r="H67" s="81"/>
      <c r="J67" s="32" t="s">
        <v>396</v>
      </c>
      <c r="K67" s="92" t="str">
        <f>IFERROR(IF(ISNUMBER(L67),L67,IF($C$81="Ei","",(VLOOKUP(C67,Kalusto!$C$45:$V$84,19,FALSE)*(VLOOKUP(C68,Muut!$D$40:$E$43,2,FALSE))))),"--")</f>
        <v>--</v>
      </c>
      <c r="L67" s="39"/>
      <c r="M67" s="40" t="s">
        <v>188</v>
      </c>
      <c r="N67" s="40"/>
      <c r="O67" s="259"/>
      <c r="P67" s="33"/>
      <c r="Q67" s="50"/>
      <c r="R67" s="35"/>
      <c r="S67" s="35"/>
      <c r="T67" s="35"/>
      <c r="U67" s="35"/>
      <c r="V67" s="35"/>
      <c r="W67" s="35"/>
      <c r="X67" s="35"/>
      <c r="Y67" s="35"/>
      <c r="Z67" s="35"/>
      <c r="AA67" s="35"/>
      <c r="AB67" s="35"/>
      <c r="AC67" s="35"/>
      <c r="AD67" s="35"/>
      <c r="AE67" s="35"/>
      <c r="AF67" s="35"/>
      <c r="AG67" s="35"/>
      <c r="AH67" s="35"/>
      <c r="AI67" s="35"/>
      <c r="AJ67" s="35"/>
      <c r="AK67" s="104"/>
      <c r="AL67" s="35"/>
      <c r="AM67" s="35"/>
      <c r="AN67" s="36"/>
      <c r="AO67" s="36"/>
      <c r="AP67" s="36"/>
      <c r="AQ67" s="36"/>
      <c r="AR67" s="36"/>
      <c r="AS67" s="36"/>
      <c r="AT67" s="36"/>
      <c r="AU67" s="36"/>
      <c r="AV67" s="36"/>
      <c r="AW67" s="36"/>
      <c r="AX67" s="36"/>
      <c r="AY67" s="36"/>
      <c r="AZ67" s="36"/>
      <c r="BA67" s="36"/>
      <c r="BB67" s="36"/>
      <c r="BC67" s="36"/>
      <c r="BD67" s="36"/>
      <c r="BE67" s="36"/>
    </row>
    <row r="68" spans="2:57" s="30" customFormat="1" ht="15" x14ac:dyDescent="0.2">
      <c r="B68" s="182" t="s">
        <v>457</v>
      </c>
      <c r="C68" s="156" t="s">
        <v>309</v>
      </c>
      <c r="D68" s="33"/>
      <c r="E68" s="33"/>
      <c r="F68" s="33"/>
      <c r="G68" s="33"/>
      <c r="H68" s="57"/>
      <c r="J68" s="169"/>
      <c r="K68" s="169"/>
      <c r="L68" s="169"/>
      <c r="M68" s="40"/>
      <c r="N68" s="40"/>
      <c r="O68" s="259"/>
      <c r="Q68" s="45"/>
      <c r="R68" s="98"/>
      <c r="S68" s="98"/>
      <c r="T68" s="35"/>
      <c r="U68" s="35"/>
      <c r="V68" s="177"/>
      <c r="W68" s="177"/>
      <c r="X68" s="59"/>
      <c r="Y68" s="35"/>
      <c r="Z68" s="59"/>
      <c r="AA68" s="178"/>
      <c r="AB68" s="59"/>
      <c r="AC68" s="59"/>
      <c r="AD68" s="59"/>
      <c r="AE68" s="59"/>
      <c r="AF68" s="178"/>
      <c r="AG68" s="59"/>
      <c r="AH68" s="35"/>
      <c r="AI68" s="35"/>
      <c r="AJ68" s="35"/>
      <c r="AK68" s="104"/>
      <c r="AL68" s="35"/>
      <c r="AM68" s="35"/>
      <c r="AN68" s="36"/>
      <c r="AO68" s="36"/>
      <c r="AP68" s="36"/>
      <c r="AQ68" s="36"/>
      <c r="AR68" s="36"/>
      <c r="AS68" s="36"/>
      <c r="AT68" s="36"/>
      <c r="AU68" s="36"/>
      <c r="AV68" s="36"/>
      <c r="AW68" s="36"/>
      <c r="AX68" s="36"/>
      <c r="AY68" s="36"/>
      <c r="AZ68" s="36"/>
      <c r="BA68" s="36"/>
      <c r="BB68" s="36"/>
      <c r="BC68" s="36"/>
      <c r="BD68" s="36"/>
      <c r="BE68" s="36"/>
    </row>
    <row r="69" spans="2:57" s="30" customFormat="1" ht="15" x14ac:dyDescent="0.2">
      <c r="B69" s="44" t="s">
        <v>465</v>
      </c>
      <c r="C69" s="158"/>
      <c r="D69" s="81" t="s">
        <v>5</v>
      </c>
      <c r="G69" s="33"/>
      <c r="H69" s="81"/>
      <c r="J69" s="51"/>
      <c r="K69" s="33"/>
      <c r="L69" s="33"/>
      <c r="M69" s="81"/>
      <c r="N69" s="81"/>
      <c r="O69" s="96"/>
      <c r="P69" s="51"/>
      <c r="Q69" s="50"/>
      <c r="R69" s="35"/>
      <c r="S69" s="35"/>
      <c r="T69" s="35"/>
      <c r="U69" s="35"/>
      <c r="V69" s="35"/>
      <c r="W69" s="35"/>
      <c r="X69" s="35"/>
      <c r="Y69" s="35"/>
      <c r="Z69" s="35"/>
      <c r="AA69" s="35"/>
      <c r="AB69" s="35"/>
      <c r="AC69" s="35"/>
      <c r="AD69" s="35"/>
      <c r="AE69" s="35"/>
      <c r="AF69" s="35"/>
      <c r="AG69" s="35"/>
      <c r="AH69" s="35"/>
      <c r="AI69" s="35"/>
      <c r="AJ69" s="35"/>
      <c r="AK69" s="104"/>
      <c r="AL69" s="35"/>
      <c r="AM69" s="35"/>
      <c r="AN69" s="36"/>
      <c r="AO69" s="36"/>
      <c r="AP69" s="36"/>
      <c r="AQ69" s="36"/>
      <c r="AR69" s="36"/>
      <c r="AS69" s="36"/>
      <c r="AT69" s="36"/>
      <c r="AU69" s="36"/>
      <c r="AV69" s="36"/>
      <c r="AW69" s="36"/>
      <c r="AX69" s="36"/>
      <c r="AY69" s="36"/>
      <c r="AZ69" s="36"/>
      <c r="BA69" s="36"/>
      <c r="BB69" s="36"/>
      <c r="BC69" s="36"/>
      <c r="BD69" s="36"/>
      <c r="BE69" s="36"/>
    </row>
    <row r="70" spans="2:57" s="30" customFormat="1" ht="15" x14ac:dyDescent="0.2">
      <c r="B70" s="151" t="s">
        <v>414</v>
      </c>
      <c r="C70" s="33"/>
      <c r="D70" s="81"/>
      <c r="G70" s="33"/>
      <c r="H70" s="81"/>
      <c r="J70" s="32"/>
      <c r="K70" s="37" t="s">
        <v>297</v>
      </c>
      <c r="L70" s="37" t="s">
        <v>185</v>
      </c>
      <c r="M70" s="81"/>
      <c r="N70" s="81"/>
      <c r="O70" s="96"/>
      <c r="P70" s="33"/>
      <c r="Q70" s="34"/>
      <c r="R70" s="59" t="s">
        <v>318</v>
      </c>
      <c r="S70" s="35"/>
      <c r="T70" s="35" t="s">
        <v>400</v>
      </c>
      <c r="U70" s="35" t="s">
        <v>399</v>
      </c>
      <c r="V70" s="35" t="s">
        <v>397</v>
      </c>
      <c r="W70" s="35" t="s">
        <v>398</v>
      </c>
      <c r="X70" s="35" t="s">
        <v>401</v>
      </c>
      <c r="Y70" s="35" t="s">
        <v>403</v>
      </c>
      <c r="Z70" s="35" t="s">
        <v>402</v>
      </c>
      <c r="AA70" s="35" t="s">
        <v>186</v>
      </c>
      <c r="AB70" s="35" t="s">
        <v>345</v>
      </c>
      <c r="AC70" s="35" t="s">
        <v>404</v>
      </c>
      <c r="AD70" s="35" t="s">
        <v>346</v>
      </c>
      <c r="AE70" s="35" t="s">
        <v>405</v>
      </c>
      <c r="AF70" s="35" t="s">
        <v>406</v>
      </c>
      <c r="AG70" s="35" t="s">
        <v>578</v>
      </c>
      <c r="AH70" s="35" t="s">
        <v>190</v>
      </c>
      <c r="AI70" s="35" t="s">
        <v>249</v>
      </c>
      <c r="AJ70" s="35" t="s">
        <v>191</v>
      </c>
      <c r="AK70" s="104"/>
      <c r="AL70" s="35"/>
      <c r="AM70" s="35"/>
      <c r="AN70" s="36"/>
      <c r="AO70" s="36"/>
      <c r="AP70" s="36"/>
      <c r="AQ70" s="36"/>
      <c r="AR70" s="36"/>
      <c r="AS70" s="36"/>
      <c r="AT70" s="36"/>
      <c r="AU70" s="36"/>
      <c r="AV70" s="36"/>
      <c r="AW70" s="36"/>
      <c r="AX70" s="36"/>
      <c r="AY70" s="36"/>
      <c r="AZ70" s="36"/>
      <c r="BA70" s="36"/>
      <c r="BB70" s="36"/>
      <c r="BC70" s="36"/>
      <c r="BD70" s="36"/>
      <c r="BE70" s="36"/>
    </row>
    <row r="71" spans="2:57" s="30" customFormat="1" ht="30" x14ac:dyDescent="0.2">
      <c r="B71" s="166" t="s">
        <v>464</v>
      </c>
      <c r="C71" s="157"/>
      <c r="D71" s="86" t="s">
        <v>163</v>
      </c>
      <c r="E71" s="33"/>
      <c r="F71" s="55"/>
      <c r="G71" s="157"/>
      <c r="H71" s="81" t="str">
        <f>IF(D71="t","t/t","t/m3")</f>
        <v>t/m3</v>
      </c>
      <c r="J71" s="169" t="s">
        <v>395</v>
      </c>
      <c r="K71" s="92" t="str">
        <f>IFERROR(IF(ISNUMBER(L71),L71,(VLOOKUP(C72,Kalusto!$C$45:$G$84,5,FALSE)*VLOOKUP(C73,Muut!$D$40:$E$43,2,FALSE))),"--")</f>
        <v>--</v>
      </c>
      <c r="L71" s="39"/>
      <c r="M71" s="40" t="s">
        <v>184</v>
      </c>
      <c r="N71" s="40"/>
      <c r="O71" s="259"/>
      <c r="Q71" s="45"/>
      <c r="R71" s="48" t="str">
        <f>IF(AND(NOT(ISNUMBER(AB71)),NOT(ISNUMBER(AG71))),"",IF(ISNUMBER(AB71),AB71,0)+IF(ISNUMBER(AG71),AG71,0))</f>
        <v/>
      </c>
      <c r="S71" s="98" t="s">
        <v>160</v>
      </c>
      <c r="T71" s="46" t="str">
        <f>IFERROR(IF(ISNUMBER(L71),"Kohdetieto",VLOOKUP(C72,Kalusto!$C$45:$L$84,7,FALSE)),"--")</f>
        <v>--</v>
      </c>
      <c r="U71" s="46" t="str">
        <f>IFERROR(IF(ISNUMBER(L71),"Kohdetieto",VLOOKUP(C72,Kalusto!$C$45:$L$84,8,FALSE)),"--")</f>
        <v>--</v>
      </c>
      <c r="V71" s="47" t="str">
        <f>IFERROR(IF(ISNUMBER(L71),"Kohdetieto",VLOOKUP(C72,Kalusto!$C$45:$L$84,9,FALSE)),"--")</f>
        <v>--</v>
      </c>
      <c r="W71" s="47" t="str">
        <f>IFERROR(IF(ISNUMBER(L71),"Kohdetieto",VLOOKUP(C72,Kalusto!$C$45:$L$84,10,FALSE)),"--")</f>
        <v>--</v>
      </c>
      <c r="X71" s="48" t="str">
        <f>IF(ISBLANK(C71),"",IF(D71="t",C71,C71*G71))</f>
        <v/>
      </c>
      <c r="Y71" s="46" t="str">
        <f>IF(ISNUMBER(C74),C74,"")</f>
        <v/>
      </c>
      <c r="Z71" s="48" t="str">
        <f>IF(ISNUMBER(X71/(U71*V71)*Y71),X71/(U71*V71)*Y71,"")</f>
        <v/>
      </c>
      <c r="AA71" s="49" t="str">
        <f>IF(ISNUMBER(L71),L71,K71)</f>
        <v>--</v>
      </c>
      <c r="AB71" s="48" t="str">
        <f>IF(ISNUMBER(Y71*X71*K71),Y71*X71*K71,"")</f>
        <v/>
      </c>
      <c r="AC71" s="48" t="str">
        <f>IF(C81="Kyllä",Y71,"")</f>
        <v/>
      </c>
      <c r="AD71" s="48" t="str">
        <f>IF(C81="Kyllä",IF(ISNUMBER(X71/(U71*V71)),X71/(U71*V71),""),"")</f>
        <v/>
      </c>
      <c r="AE71" s="48" t="str">
        <f>IF(ISNUMBER(AD71*AC71),AD71*AC71,"")</f>
        <v/>
      </c>
      <c r="AF71" s="49" t="str">
        <f>IF(ISNUMBER(L72),L72,K72)</f>
        <v>--</v>
      </c>
      <c r="AG71" s="48" t="str">
        <f>IF(ISNUMBER(AC71*AD71*K72),AC71*AD71*K72,"")</f>
        <v/>
      </c>
      <c r="AH71" s="46">
        <f>IF(T71="Jakelukuorma-auto",0,IF(T71="Maansiirtoauto",4,IF(T71="Puoliperävaunu",6,8)))</f>
        <v>8</v>
      </c>
      <c r="AI71" s="46">
        <f>IF(AND(T71="Jakelukuorma-auto",U71=6),0,IF(AND(T71="Jakelukuorma-auto",U71=15),2,0))</f>
        <v>0</v>
      </c>
      <c r="AJ71" s="46">
        <f>IF(W71="maantieajo",0,1)</f>
        <v>1</v>
      </c>
      <c r="AK71" s="104"/>
      <c r="AL71" s="35"/>
      <c r="AM71" s="35"/>
      <c r="AN71" s="36"/>
      <c r="AO71" s="36"/>
      <c r="AP71" s="36"/>
      <c r="AQ71" s="36"/>
      <c r="AR71" s="36"/>
      <c r="AS71" s="36"/>
      <c r="AT71" s="36"/>
      <c r="AU71" s="36"/>
      <c r="AV71" s="36"/>
      <c r="AW71" s="36"/>
      <c r="AX71" s="36"/>
      <c r="AY71" s="36"/>
      <c r="AZ71" s="36"/>
      <c r="BA71" s="36"/>
      <c r="BB71" s="36"/>
      <c r="BC71" s="36"/>
      <c r="BD71" s="36"/>
      <c r="BE71" s="36"/>
    </row>
    <row r="72" spans="2:57" s="30" customFormat="1" ht="30" x14ac:dyDescent="0.2">
      <c r="B72" s="166" t="s">
        <v>463</v>
      </c>
      <c r="C72" s="471" t="s">
        <v>298</v>
      </c>
      <c r="D72" s="472"/>
      <c r="E72" s="472"/>
      <c r="F72" s="472"/>
      <c r="G72" s="473"/>
      <c r="H72" s="81"/>
      <c r="J72" s="32" t="s">
        <v>396</v>
      </c>
      <c r="K72" s="92" t="str">
        <f>IFERROR(IF(ISNUMBER(L72),L72,IF($C$81="Ei","",(VLOOKUP(C72,Kalusto!$C$45:$V$84,19,FALSE)*(VLOOKUP(C73,Muut!$D$40:$E$43,2,FALSE))))),"--")</f>
        <v>--</v>
      </c>
      <c r="L72" s="39"/>
      <c r="M72" s="40" t="s">
        <v>188</v>
      </c>
      <c r="N72" s="40"/>
      <c r="O72" s="259"/>
      <c r="P72" s="33"/>
      <c r="Q72" s="50"/>
      <c r="R72" s="35"/>
      <c r="S72" s="35"/>
      <c r="T72" s="35"/>
      <c r="U72" s="35"/>
      <c r="V72" s="35"/>
      <c r="W72" s="35"/>
      <c r="X72" s="35"/>
      <c r="Y72" s="35"/>
      <c r="Z72" s="35"/>
      <c r="AA72" s="35"/>
      <c r="AB72" s="35"/>
      <c r="AC72" s="35"/>
      <c r="AD72" s="35"/>
      <c r="AE72" s="35"/>
      <c r="AF72" s="35"/>
      <c r="AG72" s="35"/>
      <c r="AH72" s="35"/>
      <c r="AI72" s="35"/>
      <c r="AJ72" s="35"/>
      <c r="AK72" s="104"/>
      <c r="AL72" s="35"/>
      <c r="AM72" s="35"/>
      <c r="AN72" s="36"/>
      <c r="AO72" s="36"/>
      <c r="AP72" s="36"/>
      <c r="AQ72" s="36"/>
      <c r="AR72" s="36"/>
      <c r="AS72" s="36"/>
      <c r="AT72" s="36"/>
      <c r="AU72" s="36"/>
      <c r="AV72" s="36"/>
      <c r="AW72" s="36"/>
      <c r="AX72" s="36"/>
      <c r="AY72" s="36"/>
      <c r="AZ72" s="36"/>
      <c r="BA72" s="36"/>
      <c r="BB72" s="36"/>
      <c r="BC72" s="36"/>
      <c r="BD72" s="36"/>
      <c r="BE72" s="36"/>
    </row>
    <row r="73" spans="2:57" s="30" customFormat="1" ht="15" x14ac:dyDescent="0.2">
      <c r="B73" s="182" t="s">
        <v>457</v>
      </c>
      <c r="C73" s="156" t="s">
        <v>309</v>
      </c>
      <c r="D73" s="33"/>
      <c r="E73" s="33"/>
      <c r="F73" s="33"/>
      <c r="G73" s="33"/>
      <c r="H73" s="57"/>
      <c r="J73" s="169"/>
      <c r="K73" s="169"/>
      <c r="L73" s="169"/>
      <c r="M73" s="40"/>
      <c r="N73" s="40"/>
      <c r="O73" s="259"/>
      <c r="Q73" s="45"/>
      <c r="R73" s="98"/>
      <c r="S73" s="98"/>
      <c r="T73" s="35"/>
      <c r="U73" s="35"/>
      <c r="V73" s="177"/>
      <c r="W73" s="177"/>
      <c r="X73" s="59"/>
      <c r="Y73" s="35"/>
      <c r="Z73" s="59"/>
      <c r="AA73" s="178"/>
      <c r="AB73" s="59"/>
      <c r="AC73" s="59"/>
      <c r="AD73" s="59"/>
      <c r="AE73" s="59"/>
      <c r="AF73" s="178"/>
      <c r="AG73" s="59"/>
      <c r="AH73" s="35"/>
      <c r="AI73" s="35"/>
      <c r="AJ73" s="35"/>
      <c r="AK73" s="104"/>
      <c r="AL73" s="35"/>
      <c r="AM73" s="35"/>
      <c r="AN73" s="36"/>
      <c r="AO73" s="36"/>
      <c r="AP73" s="36"/>
      <c r="AQ73" s="36"/>
      <c r="AR73" s="36"/>
      <c r="AS73" s="36"/>
      <c r="AT73" s="36"/>
      <c r="AU73" s="36"/>
      <c r="AV73" s="36"/>
      <c r="AW73" s="36"/>
      <c r="AX73" s="36"/>
      <c r="AY73" s="36"/>
      <c r="AZ73" s="36"/>
      <c r="BA73" s="36"/>
      <c r="BB73" s="36"/>
      <c r="BC73" s="36"/>
      <c r="BD73" s="36"/>
      <c r="BE73" s="36"/>
    </row>
    <row r="74" spans="2:57" s="30" customFormat="1" ht="15" x14ac:dyDescent="0.2">
      <c r="B74" s="44" t="s">
        <v>465</v>
      </c>
      <c r="C74" s="158"/>
      <c r="D74" s="87" t="s">
        <v>164</v>
      </c>
      <c r="E74" s="56"/>
      <c r="F74" s="56"/>
      <c r="G74" s="33"/>
      <c r="H74" s="81"/>
      <c r="J74" s="51"/>
      <c r="K74" s="33"/>
      <c r="L74" s="33"/>
      <c r="M74" s="81"/>
      <c r="N74" s="81"/>
      <c r="O74" s="96"/>
      <c r="P74" s="51"/>
      <c r="Q74" s="50"/>
      <c r="R74" s="35"/>
      <c r="S74" s="35"/>
      <c r="T74" s="35"/>
      <c r="U74" s="35"/>
      <c r="V74" s="35"/>
      <c r="W74" s="35"/>
      <c r="X74" s="35"/>
      <c r="Y74" s="35"/>
      <c r="Z74" s="35"/>
      <c r="AA74" s="35"/>
      <c r="AB74" s="35"/>
      <c r="AC74" s="35"/>
      <c r="AD74" s="35"/>
      <c r="AE74" s="35"/>
      <c r="AF74" s="35"/>
      <c r="AG74" s="35"/>
      <c r="AH74" s="35"/>
      <c r="AI74" s="35"/>
      <c r="AJ74" s="35"/>
      <c r="AK74" s="104"/>
      <c r="AL74" s="35"/>
      <c r="AM74" s="35"/>
      <c r="AN74" s="36"/>
      <c r="AO74" s="36"/>
      <c r="AP74" s="36"/>
      <c r="AQ74" s="36"/>
      <c r="AR74" s="36"/>
      <c r="AS74" s="36"/>
      <c r="AT74" s="36"/>
      <c r="AU74" s="36"/>
      <c r="AV74" s="36"/>
      <c r="AW74" s="36"/>
      <c r="AX74" s="36"/>
      <c r="AY74" s="36"/>
      <c r="AZ74" s="36"/>
      <c r="BA74" s="36"/>
      <c r="BB74" s="36"/>
      <c r="BC74" s="36"/>
      <c r="BD74" s="36"/>
      <c r="BE74" s="36"/>
    </row>
    <row r="75" spans="2:57" s="30" customFormat="1" ht="15" x14ac:dyDescent="0.2">
      <c r="B75" s="151" t="s">
        <v>302</v>
      </c>
      <c r="C75" s="33"/>
      <c r="D75" s="81"/>
      <c r="G75" s="33"/>
      <c r="H75" s="81"/>
      <c r="J75" s="32"/>
      <c r="K75" s="37" t="s">
        <v>297</v>
      </c>
      <c r="L75" s="37" t="s">
        <v>185</v>
      </c>
      <c r="M75" s="81"/>
      <c r="N75" s="81"/>
      <c r="O75" s="96"/>
      <c r="P75" s="33"/>
      <c r="Q75" s="34"/>
      <c r="R75" s="59" t="s">
        <v>318</v>
      </c>
      <c r="S75" s="35"/>
      <c r="T75" s="35" t="s">
        <v>400</v>
      </c>
      <c r="U75" s="35" t="s">
        <v>399</v>
      </c>
      <c r="V75" s="35" t="s">
        <v>397</v>
      </c>
      <c r="W75" s="35" t="s">
        <v>398</v>
      </c>
      <c r="X75" s="35" t="s">
        <v>401</v>
      </c>
      <c r="Y75" s="35" t="s">
        <v>403</v>
      </c>
      <c r="Z75" s="35" t="s">
        <v>402</v>
      </c>
      <c r="AA75" s="35" t="s">
        <v>186</v>
      </c>
      <c r="AB75" s="35" t="s">
        <v>345</v>
      </c>
      <c r="AC75" s="35" t="s">
        <v>404</v>
      </c>
      <c r="AD75" s="35" t="s">
        <v>346</v>
      </c>
      <c r="AE75" s="35" t="s">
        <v>405</v>
      </c>
      <c r="AF75" s="35" t="s">
        <v>406</v>
      </c>
      <c r="AG75" s="35" t="s">
        <v>578</v>
      </c>
      <c r="AH75" s="35" t="s">
        <v>190</v>
      </c>
      <c r="AI75" s="35" t="s">
        <v>249</v>
      </c>
      <c r="AJ75" s="35" t="s">
        <v>191</v>
      </c>
      <c r="AK75" s="104"/>
      <c r="AL75" s="35"/>
      <c r="AM75" s="35"/>
      <c r="AN75" s="36"/>
      <c r="AO75" s="36"/>
      <c r="AP75" s="36"/>
      <c r="AQ75" s="36"/>
      <c r="AR75" s="36"/>
      <c r="AS75" s="36"/>
      <c r="AT75" s="36"/>
      <c r="AU75" s="36"/>
      <c r="AV75" s="36"/>
      <c r="AW75" s="36"/>
      <c r="AX75" s="36"/>
      <c r="AY75" s="36"/>
      <c r="AZ75" s="36"/>
      <c r="BA75" s="36"/>
      <c r="BB75" s="36"/>
      <c r="BC75" s="36"/>
      <c r="BD75" s="36"/>
      <c r="BE75" s="36"/>
    </row>
    <row r="76" spans="2:57" s="30" customFormat="1" ht="30" x14ac:dyDescent="0.2">
      <c r="B76" s="166" t="s">
        <v>464</v>
      </c>
      <c r="C76" s="157"/>
      <c r="D76" s="86" t="s">
        <v>163</v>
      </c>
      <c r="E76" s="33"/>
      <c r="F76" s="55"/>
      <c r="G76" s="157"/>
      <c r="H76" s="81" t="str">
        <f>IF(D76="t","t/t","t/m3")</f>
        <v>t/m3</v>
      </c>
      <c r="J76" s="169" t="s">
        <v>395</v>
      </c>
      <c r="K76" s="92" t="str">
        <f>IFERROR(IF(ISNUMBER(L76),L76,(VLOOKUP(C77,Kalusto!$C$45:$G$84,5,FALSE)*VLOOKUP(C78,Muut!$D$40:$E$43,2,FALSE))),"--")</f>
        <v>--</v>
      </c>
      <c r="L76" s="39"/>
      <c r="M76" s="40" t="s">
        <v>184</v>
      </c>
      <c r="N76" s="40"/>
      <c r="O76" s="259"/>
      <c r="Q76" s="45"/>
      <c r="R76" s="48" t="str">
        <f>IF(AND(NOT(ISNUMBER(AB76)),NOT(ISNUMBER(AG76))),"",IF(ISNUMBER(AB76),AB76,0)+IF(ISNUMBER(AG76),AG76,0))</f>
        <v/>
      </c>
      <c r="S76" s="98" t="s">
        <v>160</v>
      </c>
      <c r="T76" s="46" t="str">
        <f>IFERROR(IF(ISNUMBER(L76),"Kohdetieto",VLOOKUP(C77,Kalusto!$C$45:$L$84,7,FALSE)),"--")</f>
        <v>--</v>
      </c>
      <c r="U76" s="46" t="str">
        <f>IFERROR(IF(ISNUMBER(L76),"Kohdetieto",VLOOKUP(C77,Kalusto!$C$45:$L$84,8,FALSE)),"--")</f>
        <v>--</v>
      </c>
      <c r="V76" s="47" t="str">
        <f>IFERROR(IF(ISNUMBER(L76),"Kohdetieto",VLOOKUP(C77,Kalusto!$C$45:$L$84,9,FALSE)),"--")</f>
        <v>--</v>
      </c>
      <c r="W76" s="47" t="str">
        <f>IFERROR(IF(ISNUMBER(L76),"Kohdetieto",VLOOKUP(C77,Kalusto!$C$45:$L$84,10,FALSE)),"--")</f>
        <v>--</v>
      </c>
      <c r="X76" s="48" t="str">
        <f>IF(ISBLANK(C76),"",IF(D76="t",C76,C76*G76))</f>
        <v/>
      </c>
      <c r="Y76" s="46" t="str">
        <f>IF(ISNUMBER(C79),C79,"")</f>
        <v/>
      </c>
      <c r="Z76" s="48" t="str">
        <f>IF(ISNUMBER(X76/(U76*V76)*Y76),X76/(U76*V76)*Y76,"")</f>
        <v/>
      </c>
      <c r="AA76" s="49" t="str">
        <f>IF(ISNUMBER(L76),L76,K76)</f>
        <v>--</v>
      </c>
      <c r="AB76" s="48" t="str">
        <f>IF(ISNUMBER(Y76*X76*K76),Y76*X76*K76,"")</f>
        <v/>
      </c>
      <c r="AC76" s="48" t="str">
        <f>IF(C81="Kyllä",Y76,"")</f>
        <v/>
      </c>
      <c r="AD76" s="48" t="str">
        <f>IF(C81="Kyllä",IF(ISNUMBER(X76/(U76*V76)),X76/(U76*V76),""),"")</f>
        <v/>
      </c>
      <c r="AE76" s="48" t="str">
        <f>IF(ISNUMBER(AD76*AC76),AD76*AC76,"")</f>
        <v/>
      </c>
      <c r="AF76" s="49" t="str">
        <f>IF(ISNUMBER(L77),L77,K77)</f>
        <v>--</v>
      </c>
      <c r="AG76" s="48" t="str">
        <f>IF(ISNUMBER(AC76*AD76*K77),AC76*AD76*K77,"")</f>
        <v/>
      </c>
      <c r="AH76" s="46">
        <f>IF(T76="Jakelukuorma-auto",0,IF(T76="Maansiirtoauto",4,IF(T76="Puoliperävaunu",6,8)))</f>
        <v>8</v>
      </c>
      <c r="AI76" s="46">
        <f>IF(AND(T76="Jakelukuorma-auto",U76=6),0,IF(AND(T76="Jakelukuorma-auto",U76=15),2,0))</f>
        <v>0</v>
      </c>
      <c r="AJ76" s="46">
        <f>IF(W76="maantieajo",0,1)</f>
        <v>1</v>
      </c>
      <c r="AK76" s="104"/>
      <c r="AL76" s="35"/>
      <c r="AM76" s="35"/>
      <c r="AN76" s="36"/>
      <c r="AO76" s="36"/>
      <c r="AP76" s="36"/>
      <c r="AQ76" s="36"/>
      <c r="AR76" s="36"/>
      <c r="AS76" s="36"/>
      <c r="AT76" s="36"/>
      <c r="AU76" s="36"/>
      <c r="AV76" s="36"/>
      <c r="AW76" s="36"/>
      <c r="AX76" s="36"/>
      <c r="AY76" s="36"/>
      <c r="AZ76" s="36"/>
      <c r="BA76" s="36"/>
      <c r="BB76" s="36"/>
      <c r="BC76" s="36"/>
      <c r="BD76" s="36"/>
      <c r="BE76" s="36"/>
    </row>
    <row r="77" spans="2:57" s="30" customFormat="1" ht="30" x14ac:dyDescent="0.2">
      <c r="B77" s="166" t="s">
        <v>463</v>
      </c>
      <c r="C77" s="471" t="s">
        <v>298</v>
      </c>
      <c r="D77" s="472"/>
      <c r="E77" s="472"/>
      <c r="F77" s="472"/>
      <c r="G77" s="473"/>
      <c r="H77" s="81"/>
      <c r="J77" s="32" t="s">
        <v>396</v>
      </c>
      <c r="K77" s="92" t="str">
        <f>IFERROR(IF(ISNUMBER(L77),L77,IF($C$81="Ei","",(VLOOKUP(C77,Kalusto!$C$45:$V$84,19,FALSE)*(VLOOKUP(C78,Muut!$D$40:$E$43,2,FALSE))))),"--")</f>
        <v>--</v>
      </c>
      <c r="L77" s="39"/>
      <c r="M77" s="40" t="s">
        <v>188</v>
      </c>
      <c r="N77" s="40"/>
      <c r="O77" s="259"/>
      <c r="P77" s="33"/>
      <c r="Q77" s="50"/>
      <c r="R77" s="95"/>
      <c r="S77" s="35"/>
      <c r="T77" s="35"/>
      <c r="U77" s="35"/>
      <c r="V77" s="35"/>
      <c r="W77" s="35"/>
      <c r="X77" s="35"/>
      <c r="Y77" s="35"/>
      <c r="Z77" s="35"/>
      <c r="AA77" s="35"/>
      <c r="AB77" s="35"/>
      <c r="AC77" s="35"/>
      <c r="AD77" s="35"/>
      <c r="AE77" s="35"/>
      <c r="AF77" s="35"/>
      <c r="AG77" s="35"/>
      <c r="AH77" s="35"/>
      <c r="AI77" s="35"/>
      <c r="AJ77" s="35"/>
      <c r="AK77" s="35"/>
      <c r="AL77" s="35"/>
      <c r="AM77" s="35"/>
      <c r="AN77" s="36"/>
      <c r="AO77" s="36"/>
      <c r="AP77" s="36"/>
      <c r="AQ77" s="36"/>
      <c r="AR77" s="36"/>
      <c r="AS77" s="36"/>
      <c r="AT77" s="36"/>
      <c r="AU77" s="36"/>
      <c r="AV77" s="36"/>
      <c r="AW77" s="36"/>
      <c r="AX77" s="36"/>
      <c r="AY77" s="36"/>
      <c r="AZ77" s="36"/>
      <c r="BA77" s="36"/>
      <c r="BB77" s="36"/>
      <c r="BC77" s="36"/>
      <c r="BD77" s="36"/>
      <c r="BE77" s="36"/>
    </row>
    <row r="78" spans="2:57" s="30" customFormat="1" ht="15" x14ac:dyDescent="0.2">
      <c r="B78" s="182" t="s">
        <v>457</v>
      </c>
      <c r="C78" s="156" t="s">
        <v>309</v>
      </c>
      <c r="D78" s="33"/>
      <c r="E78" s="33"/>
      <c r="F78" s="33"/>
      <c r="G78" s="33"/>
      <c r="H78" s="57"/>
      <c r="J78" s="169"/>
      <c r="K78" s="169"/>
      <c r="L78" s="169"/>
      <c r="M78" s="40"/>
      <c r="N78" s="40"/>
      <c r="O78" s="259"/>
      <c r="Q78" s="45"/>
      <c r="R78" s="98"/>
      <c r="S78" s="98"/>
      <c r="T78" s="35"/>
      <c r="U78" s="35"/>
      <c r="V78" s="177"/>
      <c r="W78" s="177"/>
      <c r="X78" s="59"/>
      <c r="Y78" s="35"/>
      <c r="Z78" s="59"/>
      <c r="AA78" s="178"/>
      <c r="AB78" s="59"/>
      <c r="AC78" s="59"/>
      <c r="AD78" s="59"/>
      <c r="AE78" s="59"/>
      <c r="AF78" s="178"/>
      <c r="AG78" s="59"/>
      <c r="AH78" s="35"/>
      <c r="AI78" s="35"/>
      <c r="AJ78" s="35"/>
      <c r="AK78" s="104"/>
      <c r="AL78" s="35"/>
      <c r="AM78" s="35"/>
      <c r="AN78" s="36"/>
      <c r="AO78" s="36"/>
      <c r="AP78" s="36"/>
      <c r="AQ78" s="36"/>
      <c r="AR78" s="36"/>
      <c r="AS78" s="36"/>
      <c r="AT78" s="36"/>
      <c r="AU78" s="36"/>
      <c r="AV78" s="36"/>
      <c r="AW78" s="36"/>
      <c r="AX78" s="36"/>
      <c r="AY78" s="36"/>
      <c r="AZ78" s="36"/>
      <c r="BA78" s="36"/>
      <c r="BB78" s="36"/>
      <c r="BC78" s="36"/>
      <c r="BD78" s="36"/>
      <c r="BE78" s="36"/>
    </row>
    <row r="79" spans="2:57" s="30" customFormat="1" ht="15" x14ac:dyDescent="0.2">
      <c r="B79" s="44" t="s">
        <v>465</v>
      </c>
      <c r="C79" s="158"/>
      <c r="D79" s="81" t="s">
        <v>5</v>
      </c>
      <c r="G79" s="33"/>
      <c r="H79" s="81"/>
      <c r="J79" s="51"/>
      <c r="K79" s="33"/>
      <c r="L79" s="33"/>
      <c r="M79" s="81"/>
      <c r="N79" s="81"/>
      <c r="O79" s="96"/>
      <c r="P79" s="51"/>
      <c r="Q79" s="50"/>
      <c r="R79" s="95"/>
      <c r="S79" s="35"/>
      <c r="T79" s="35"/>
      <c r="U79" s="35"/>
      <c r="V79" s="35"/>
      <c r="W79" s="35"/>
      <c r="X79" s="35"/>
      <c r="Y79" s="35"/>
      <c r="Z79" s="35"/>
      <c r="AA79" s="35"/>
      <c r="AB79" s="35"/>
      <c r="AC79" s="35"/>
      <c r="AD79" s="35"/>
      <c r="AE79" s="35"/>
      <c r="AF79" s="35"/>
      <c r="AG79" s="35"/>
      <c r="AH79" s="35"/>
      <c r="AI79" s="35"/>
      <c r="AJ79" s="35"/>
      <c r="AK79" s="35"/>
      <c r="AL79" s="35"/>
      <c r="AM79" s="35"/>
      <c r="AN79" s="36"/>
      <c r="AO79" s="36"/>
      <c r="AP79" s="36"/>
      <c r="AQ79" s="36"/>
      <c r="AR79" s="36"/>
      <c r="AS79" s="36"/>
      <c r="AT79" s="36"/>
      <c r="AU79" s="36"/>
      <c r="AV79" s="36"/>
      <c r="AW79" s="36"/>
      <c r="AX79" s="36"/>
      <c r="AY79" s="36"/>
      <c r="AZ79" s="36"/>
      <c r="BA79" s="36"/>
      <c r="BB79" s="36"/>
      <c r="BC79" s="36"/>
      <c r="BD79" s="36"/>
      <c r="BE79" s="36"/>
    </row>
    <row r="80" spans="2:57" s="30" customFormat="1" ht="15" x14ac:dyDescent="0.2">
      <c r="C80" s="33"/>
      <c r="D80" s="81"/>
      <c r="G80" s="33"/>
      <c r="H80" s="81"/>
      <c r="J80" s="32"/>
      <c r="K80" s="33"/>
      <c r="L80" s="33"/>
      <c r="M80" s="81"/>
      <c r="N80" s="81"/>
      <c r="O80" s="96"/>
      <c r="Q80" s="34"/>
      <c r="R80" s="95"/>
      <c r="S80" s="35"/>
      <c r="T80" s="35"/>
      <c r="U80" s="35"/>
      <c r="V80" s="35"/>
      <c r="W80" s="35"/>
      <c r="X80" s="35"/>
      <c r="Y80" s="35"/>
      <c r="Z80" s="35"/>
      <c r="AA80" s="35"/>
      <c r="AB80" s="35"/>
      <c r="AC80" s="35"/>
      <c r="AD80" s="35"/>
      <c r="AE80" s="35"/>
      <c r="AF80" s="35"/>
      <c r="AG80" s="35"/>
      <c r="AH80" s="35"/>
      <c r="AI80" s="35"/>
      <c r="AJ80" s="35"/>
      <c r="AK80" s="35"/>
      <c r="AL80" s="35"/>
      <c r="AM80" s="35"/>
      <c r="AN80" s="36"/>
      <c r="AO80" s="36"/>
      <c r="AP80" s="36"/>
      <c r="AQ80" s="36"/>
      <c r="AR80" s="36"/>
      <c r="AS80" s="36"/>
      <c r="AT80" s="36"/>
      <c r="AU80" s="36"/>
      <c r="AV80" s="36"/>
      <c r="AW80" s="36"/>
      <c r="AX80" s="36"/>
      <c r="AY80" s="36"/>
      <c r="AZ80" s="36"/>
      <c r="BA80" s="36"/>
      <c r="BB80" s="36"/>
      <c r="BC80" s="36"/>
      <c r="BD80" s="36"/>
      <c r="BE80" s="36"/>
    </row>
    <row r="81" spans="2:59" s="30" customFormat="1" ht="45" x14ac:dyDescent="0.2">
      <c r="B81" s="76" t="s">
        <v>606</v>
      </c>
      <c r="C81" s="471" t="s">
        <v>6</v>
      </c>
      <c r="D81" s="473"/>
      <c r="E81" s="33"/>
      <c r="F81" s="56"/>
      <c r="G81" s="33"/>
      <c r="H81" s="81"/>
      <c r="J81" s="32"/>
      <c r="K81" s="33"/>
      <c r="L81" s="33"/>
      <c r="M81" s="81"/>
      <c r="N81" s="81"/>
      <c r="O81" s="96"/>
      <c r="Q81" s="34"/>
      <c r="R81" s="95"/>
      <c r="S81" s="35"/>
      <c r="T81" s="35"/>
      <c r="U81" s="35"/>
      <c r="V81" s="35"/>
      <c r="W81" s="35"/>
      <c r="X81" s="35"/>
      <c r="Y81" s="35"/>
      <c r="Z81" s="35"/>
      <c r="AA81" s="35"/>
      <c r="AB81" s="35"/>
      <c r="AC81" s="35"/>
      <c r="AD81" s="35"/>
      <c r="AE81" s="35"/>
      <c r="AF81" s="35"/>
      <c r="AG81" s="35"/>
      <c r="AH81" s="35"/>
      <c r="AI81" s="35"/>
      <c r="AJ81" s="35"/>
      <c r="AK81" s="35"/>
      <c r="AL81" s="35"/>
      <c r="AM81" s="35"/>
      <c r="AN81" s="36"/>
      <c r="AO81" s="36"/>
      <c r="AP81" s="36"/>
      <c r="AQ81" s="36"/>
      <c r="AR81" s="36"/>
      <c r="AS81" s="36"/>
      <c r="AT81" s="36"/>
      <c r="AU81" s="36"/>
      <c r="AV81" s="36"/>
      <c r="AW81" s="36"/>
      <c r="AX81" s="36"/>
      <c r="AY81" s="36"/>
      <c r="AZ81" s="36"/>
      <c r="BA81" s="36"/>
      <c r="BB81" s="36"/>
      <c r="BC81" s="36"/>
      <c r="BD81" s="36"/>
      <c r="BE81" s="36"/>
    </row>
    <row r="82" spans="2:59" s="30" customFormat="1" ht="15" x14ac:dyDescent="0.2">
      <c r="C82" s="33"/>
      <c r="D82" s="81"/>
      <c r="G82" s="33"/>
      <c r="H82" s="81"/>
      <c r="J82" s="32"/>
      <c r="K82" s="33"/>
      <c r="L82" s="33"/>
      <c r="M82" s="81"/>
      <c r="N82" s="81"/>
      <c r="O82" s="81"/>
      <c r="Q82" s="34"/>
      <c r="R82" s="95"/>
      <c r="S82" s="35"/>
      <c r="T82" s="35"/>
      <c r="U82" s="35"/>
      <c r="V82" s="35"/>
      <c r="W82" s="35"/>
      <c r="X82" s="35"/>
      <c r="Y82" s="35"/>
      <c r="Z82" s="35"/>
      <c r="AA82" s="35"/>
      <c r="AB82" s="35"/>
      <c r="AC82" s="35"/>
      <c r="AD82" s="35"/>
      <c r="AE82" s="35"/>
      <c r="AF82" s="35"/>
      <c r="AG82" s="35"/>
      <c r="AH82" s="35"/>
      <c r="AI82" s="35"/>
      <c r="AJ82" s="35"/>
      <c r="AK82" s="35"/>
      <c r="AL82" s="35"/>
      <c r="AM82" s="35"/>
      <c r="AN82" s="36"/>
      <c r="AO82" s="36"/>
      <c r="AP82" s="36"/>
      <c r="AQ82" s="36"/>
      <c r="AR82" s="36"/>
      <c r="AS82" s="36"/>
      <c r="AT82" s="36"/>
      <c r="AU82" s="36"/>
      <c r="AV82" s="36"/>
      <c r="AW82" s="36"/>
      <c r="AX82" s="36"/>
      <c r="AY82" s="36"/>
      <c r="AZ82" s="36"/>
      <c r="BA82" s="36"/>
      <c r="BB82" s="36"/>
      <c r="BC82" s="36"/>
      <c r="BD82" s="36"/>
      <c r="BE82" s="36"/>
    </row>
    <row r="83" spans="2:59" s="289" customFormat="1" ht="18" x14ac:dyDescent="0.2">
      <c r="B83" s="286" t="s">
        <v>321</v>
      </c>
      <c r="C83" s="287"/>
      <c r="D83" s="288"/>
      <c r="G83" s="287"/>
      <c r="H83" s="288"/>
      <c r="K83" s="287"/>
      <c r="L83" s="287"/>
      <c r="M83" s="288"/>
      <c r="N83" s="288"/>
      <c r="O83" s="291"/>
      <c r="P83" s="311"/>
      <c r="Q83" s="295"/>
      <c r="R83" s="289" t="str">
        <f>IF(OR(ISNUMBER(#REF!),ISNUMBER(#REF!),ISNUMBER(#REF!),ISNUMBER(#REF!),ISNUMBER(#REF!)),SUM(#REF!,#REF!,#REF!,#REF!,#REF!),"")</f>
        <v/>
      </c>
      <c r="S83" s="294"/>
      <c r="T83" s="294"/>
      <c r="U83" s="294"/>
      <c r="V83" s="294"/>
      <c r="W83" s="294"/>
      <c r="X83" s="294"/>
      <c r="Y83" s="294"/>
      <c r="Z83" s="294"/>
      <c r="AA83" s="294"/>
      <c r="AB83" s="294"/>
      <c r="AC83" s="294"/>
      <c r="AD83" s="294"/>
      <c r="AE83" s="294"/>
      <c r="AF83" s="294"/>
      <c r="AG83" s="294"/>
      <c r="AH83" s="294"/>
      <c r="AI83" s="294"/>
      <c r="AJ83" s="294"/>
      <c r="AK83" s="294"/>
      <c r="AL83" s="294"/>
      <c r="AM83" s="294"/>
      <c r="AN83" s="295"/>
      <c r="AO83" s="295"/>
      <c r="AP83" s="295"/>
      <c r="AQ83" s="295"/>
      <c r="AR83" s="295"/>
      <c r="AS83" s="295"/>
      <c r="AT83" s="295"/>
      <c r="AU83" s="295"/>
      <c r="AV83" s="295"/>
      <c r="AW83" s="295"/>
      <c r="AX83" s="295"/>
      <c r="AY83" s="295"/>
      <c r="AZ83" s="295"/>
      <c r="BA83" s="295"/>
      <c r="BB83" s="295"/>
      <c r="BC83" s="295"/>
      <c r="BD83" s="295"/>
      <c r="BE83" s="295"/>
    </row>
    <row r="84" spans="2:59" s="30" customFormat="1" ht="15.75" x14ac:dyDescent="0.2">
      <c r="B84" s="8"/>
      <c r="C84" s="33"/>
      <c r="D84" s="81"/>
      <c r="G84" s="37" t="s">
        <v>183</v>
      </c>
      <c r="H84" s="81"/>
      <c r="J84" s="32"/>
      <c r="K84" s="37" t="s">
        <v>297</v>
      </c>
      <c r="L84" s="37" t="s">
        <v>185</v>
      </c>
      <c r="M84" s="81"/>
      <c r="N84" s="81"/>
      <c r="O84" s="249" t="s">
        <v>584</v>
      </c>
      <c r="P84" s="37"/>
      <c r="Q84" s="34"/>
      <c r="R84" s="35" t="s">
        <v>318</v>
      </c>
      <c r="S84" s="35"/>
      <c r="T84" s="35" t="s">
        <v>343</v>
      </c>
      <c r="U84" s="35" t="s">
        <v>153</v>
      </c>
      <c r="V84" s="35" t="s">
        <v>323</v>
      </c>
      <c r="W84" s="104"/>
      <c r="X84" s="35"/>
      <c r="Y84" s="35"/>
      <c r="Z84" s="35"/>
      <c r="AA84" s="35"/>
      <c r="AB84" s="35"/>
      <c r="AC84" s="35"/>
      <c r="AD84" s="35"/>
      <c r="AE84" s="35"/>
      <c r="AF84" s="35"/>
      <c r="AG84" s="35"/>
      <c r="AH84" s="35"/>
      <c r="AI84" s="35"/>
      <c r="AJ84" s="35"/>
      <c r="AK84" s="35"/>
      <c r="AL84" s="35"/>
      <c r="AM84" s="35"/>
      <c r="AN84" s="36"/>
      <c r="AO84" s="36"/>
      <c r="AP84" s="36"/>
      <c r="AQ84" s="36"/>
      <c r="AR84" s="36"/>
      <c r="AS84" s="36"/>
      <c r="AT84" s="36"/>
      <c r="AU84" s="36"/>
      <c r="AV84" s="36"/>
      <c r="AW84" s="36"/>
      <c r="AX84" s="36"/>
      <c r="AY84" s="36"/>
      <c r="AZ84" s="36"/>
      <c r="BA84" s="36"/>
      <c r="BB84" s="36"/>
      <c r="BC84" s="36"/>
      <c r="BD84" s="36"/>
      <c r="BE84" s="36"/>
    </row>
    <row r="85" spans="2:59" s="30" customFormat="1" ht="15" x14ac:dyDescent="0.2">
      <c r="B85" s="159" t="s">
        <v>416</v>
      </c>
      <c r="C85" s="156"/>
      <c r="D85" s="88" t="s">
        <v>163</v>
      </c>
      <c r="G85" s="64">
        <v>1.8</v>
      </c>
      <c r="H85" s="81" t="s">
        <v>165</v>
      </c>
      <c r="J85" s="32" t="s">
        <v>322</v>
      </c>
      <c r="K85" s="92">
        <f>IF(ISNUMBER(L85),L85,VLOOKUP(B85,Materiaalit!$C$5:$M$16,7,FALSE))</f>
        <v>6.0000000000000001E-3</v>
      </c>
      <c r="L85" s="39"/>
      <c r="M85" s="40" t="s">
        <v>247</v>
      </c>
      <c r="N85" s="40"/>
      <c r="O85" s="250"/>
      <c r="P85" s="40"/>
      <c r="Q85" s="50"/>
      <c r="R85" s="48" t="str">
        <f>IF(ISNUMBER(K85*V85*1000),K85*V85*1000,"")</f>
        <v/>
      </c>
      <c r="S85" s="98" t="s">
        <v>160</v>
      </c>
      <c r="T85" s="48" t="str">
        <f>IF(ISBLANK(C85),"",IF(D85="t",C85,C85*G85))</f>
        <v/>
      </c>
      <c r="U85" s="46">
        <f>VLOOKUP(B85,Materiaalit!$C$5:$M$16,11,FALSE)</f>
        <v>1.05</v>
      </c>
      <c r="V85" s="48" t="str">
        <f>IF(ISNUMBER(U85*T85),U85*T85,"")</f>
        <v/>
      </c>
      <c r="W85" s="104"/>
      <c r="X85" s="35"/>
      <c r="Y85" s="35"/>
      <c r="Z85" s="35"/>
      <c r="AA85" s="35"/>
      <c r="AB85" s="35"/>
      <c r="AC85" s="35"/>
      <c r="AD85" s="35"/>
      <c r="AE85" s="35"/>
      <c r="AF85" s="35"/>
      <c r="AG85" s="35"/>
      <c r="AH85" s="35"/>
      <c r="AI85" s="35"/>
      <c r="AJ85" s="35"/>
      <c r="AK85" s="35"/>
      <c r="AL85" s="35"/>
      <c r="AM85" s="35"/>
      <c r="AN85" s="36"/>
      <c r="AO85" s="36"/>
      <c r="AP85" s="36"/>
      <c r="AQ85" s="36"/>
      <c r="AR85" s="36"/>
      <c r="AS85" s="36"/>
      <c r="AT85" s="36"/>
      <c r="AU85" s="36"/>
      <c r="AV85" s="36"/>
      <c r="AW85" s="36"/>
      <c r="AX85" s="36"/>
      <c r="AY85" s="36"/>
      <c r="AZ85" s="36"/>
      <c r="BA85" s="36"/>
      <c r="BB85" s="36"/>
      <c r="BC85" s="36"/>
      <c r="BD85" s="36"/>
      <c r="BE85" s="36"/>
    </row>
    <row r="86" spans="2:59" s="30" customFormat="1" ht="15" x14ac:dyDescent="0.2">
      <c r="B86" s="159" t="s">
        <v>415</v>
      </c>
      <c r="C86" s="156"/>
      <c r="D86" s="86" t="s">
        <v>163</v>
      </c>
      <c r="G86" s="65">
        <f>1/0.6</f>
        <v>1.6666666666666667</v>
      </c>
      <c r="H86" s="81" t="s">
        <v>165</v>
      </c>
      <c r="J86" s="32" t="s">
        <v>322</v>
      </c>
      <c r="K86" s="92">
        <f>IF(ISNUMBER(L86),L86,VLOOKUP(B86,Materiaalit!$C$5:$M$16,7,FALSE))</f>
        <v>6.0000000000000001E-3</v>
      </c>
      <c r="L86" s="39"/>
      <c r="M86" s="40" t="s">
        <v>247</v>
      </c>
      <c r="N86" s="40"/>
      <c r="O86" s="259"/>
      <c r="P86" s="40"/>
      <c r="Q86" s="50"/>
      <c r="R86" s="48" t="str">
        <f>IF(ISNUMBER(K86*V86*1000),K86*V86*1000,"")</f>
        <v/>
      </c>
      <c r="S86" s="98" t="s">
        <v>160</v>
      </c>
      <c r="T86" s="48" t="str">
        <f>IF(ISBLANK(C86),"",IF(D86="t",C86,C86*G86))</f>
        <v/>
      </c>
      <c r="U86" s="46">
        <f>VLOOKUP(B86,Materiaalit!$C$5:$M$16,11,FALSE)</f>
        <v>1.05</v>
      </c>
      <c r="V86" s="48" t="str">
        <f>IF(ISNUMBER(U86*T86),U86*T86,"")</f>
        <v/>
      </c>
      <c r="W86" s="104"/>
      <c r="X86" s="35"/>
      <c r="Y86" s="35"/>
      <c r="Z86" s="35"/>
      <c r="AA86" s="35"/>
      <c r="AB86" s="35"/>
      <c r="AC86" s="35"/>
      <c r="AD86" s="35"/>
      <c r="AE86" s="35"/>
      <c r="AF86" s="35"/>
      <c r="AG86" s="35"/>
      <c r="AH86" s="35"/>
      <c r="AI86" s="35"/>
      <c r="AJ86" s="35"/>
      <c r="AK86" s="35"/>
      <c r="AL86" s="35"/>
      <c r="AM86" s="35"/>
      <c r="AN86" s="36"/>
      <c r="AO86" s="36"/>
      <c r="AP86" s="36"/>
      <c r="AQ86" s="36"/>
      <c r="AR86" s="36"/>
      <c r="AS86" s="36"/>
      <c r="AT86" s="36"/>
      <c r="AU86" s="36"/>
      <c r="AV86" s="36"/>
      <c r="AW86" s="36"/>
      <c r="AX86" s="36"/>
      <c r="AY86" s="36"/>
      <c r="AZ86" s="36"/>
      <c r="BA86" s="36"/>
      <c r="BB86" s="36"/>
      <c r="BC86" s="36"/>
      <c r="BD86" s="36"/>
      <c r="BE86" s="36"/>
    </row>
    <row r="87" spans="2:59" s="30" customFormat="1" ht="15" x14ac:dyDescent="0.2">
      <c r="B87" s="159" t="s">
        <v>417</v>
      </c>
      <c r="C87" s="156"/>
      <c r="D87" s="89" t="s">
        <v>163</v>
      </c>
      <c r="G87" s="65">
        <f>1/0.6</f>
        <v>1.6666666666666667</v>
      </c>
      <c r="H87" s="81" t="s">
        <v>165</v>
      </c>
      <c r="J87" s="32" t="s">
        <v>322</v>
      </c>
      <c r="K87" s="92">
        <f>IF(ISNUMBER(L87),L87,VLOOKUP(B87,Materiaalit!$C$5:$M$16,7,FALSE))</f>
        <v>4.0000000000000001E-3</v>
      </c>
      <c r="L87" s="39"/>
      <c r="M87" s="40" t="s">
        <v>247</v>
      </c>
      <c r="N87" s="40"/>
      <c r="O87" s="259"/>
      <c r="P87" s="40"/>
      <c r="Q87" s="50"/>
      <c r="R87" s="48" t="str">
        <f>IF(ISNUMBER(K87*V87*1000),K87*V87*1000,"")</f>
        <v/>
      </c>
      <c r="S87" s="98" t="s">
        <v>160</v>
      </c>
      <c r="T87" s="48" t="str">
        <f>IF(ISBLANK(C87),"",IF(D87="t",C87,C87*G87))</f>
        <v/>
      </c>
      <c r="U87" s="46">
        <f>VLOOKUP(B87,Materiaalit!$C$5:$M$16,11,FALSE)</f>
        <v>1.05</v>
      </c>
      <c r="V87" s="48" t="str">
        <f>IF(ISNUMBER(U87*T87),U87*T87,"")</f>
        <v/>
      </c>
      <c r="W87" s="104"/>
      <c r="X87" s="35"/>
      <c r="Y87" s="35"/>
      <c r="Z87" s="35"/>
      <c r="AA87" s="35"/>
      <c r="AB87" s="35"/>
      <c r="AC87" s="35"/>
      <c r="AD87" s="35"/>
      <c r="AE87" s="35"/>
      <c r="AF87" s="35"/>
      <c r="AG87" s="35"/>
      <c r="AH87" s="35"/>
      <c r="AI87" s="35"/>
      <c r="AJ87" s="35"/>
      <c r="AK87" s="35"/>
      <c r="AL87" s="35"/>
      <c r="AM87" s="35"/>
      <c r="AN87" s="36"/>
      <c r="AO87" s="36"/>
      <c r="AP87" s="36"/>
      <c r="AQ87" s="36"/>
      <c r="AR87" s="36"/>
      <c r="AS87" s="36"/>
      <c r="AT87" s="36"/>
      <c r="AU87" s="36"/>
      <c r="AV87" s="36"/>
      <c r="AW87" s="36"/>
      <c r="AX87" s="36"/>
      <c r="AY87" s="36"/>
      <c r="AZ87" s="36"/>
      <c r="BA87" s="36"/>
      <c r="BB87" s="36"/>
      <c r="BC87" s="36"/>
      <c r="BD87" s="36"/>
      <c r="BE87" s="36"/>
    </row>
    <row r="88" spans="2:59" s="30" customFormat="1" ht="15" x14ac:dyDescent="0.2">
      <c r="B88" s="159" t="s">
        <v>418</v>
      </c>
      <c r="C88" s="156"/>
      <c r="D88" s="86" t="s">
        <v>163</v>
      </c>
      <c r="G88" s="65">
        <f>1/0.7</f>
        <v>1.4285714285714286</v>
      </c>
      <c r="H88" s="81" t="s">
        <v>165</v>
      </c>
      <c r="J88" s="32" t="s">
        <v>322</v>
      </c>
      <c r="K88" s="92">
        <f>IF(ISNUMBER(L88),L88,VLOOKUP(B88,Materiaalit!$C$5:$M$16,7,FALSE))</f>
        <v>4.0000000000000001E-3</v>
      </c>
      <c r="L88" s="39"/>
      <c r="M88" s="40" t="s">
        <v>247</v>
      </c>
      <c r="N88" s="40"/>
      <c r="O88" s="259"/>
      <c r="P88" s="40"/>
      <c r="Q88" s="50"/>
      <c r="R88" s="48" t="str">
        <f>IF(ISNUMBER(K88*V88*1000),K88*V88*1000,"")</f>
        <v/>
      </c>
      <c r="S88" s="98" t="s">
        <v>160</v>
      </c>
      <c r="T88" s="48" t="str">
        <f>IF(ISBLANK(C88),"",IF(D88="t",C88,C88*G88))</f>
        <v/>
      </c>
      <c r="U88" s="46">
        <f>VLOOKUP(B88,Materiaalit!$C$5:$M$16,11,FALSE)</f>
        <v>1.05</v>
      </c>
      <c r="V88" s="48" t="str">
        <f>IF(ISNUMBER(U88*T88),U88*T88,"")</f>
        <v/>
      </c>
      <c r="W88" s="104"/>
      <c r="X88" s="35"/>
      <c r="Y88" s="35"/>
      <c r="Z88" s="35"/>
      <c r="AA88" s="35"/>
      <c r="AB88" s="35"/>
      <c r="AC88" s="35"/>
      <c r="AD88" s="35"/>
      <c r="AE88" s="35"/>
      <c r="AF88" s="35"/>
      <c r="AG88" s="35"/>
      <c r="AH88" s="35"/>
      <c r="AI88" s="35"/>
      <c r="AJ88" s="35"/>
      <c r="AK88" s="35"/>
      <c r="AL88" s="35"/>
      <c r="AM88" s="35"/>
      <c r="AN88" s="36"/>
      <c r="AO88" s="36"/>
      <c r="AP88" s="36"/>
      <c r="AQ88" s="36"/>
      <c r="AR88" s="36"/>
      <c r="AS88" s="36"/>
      <c r="AT88" s="36"/>
      <c r="AU88" s="36"/>
      <c r="AV88" s="36"/>
      <c r="AW88" s="36"/>
      <c r="AX88" s="36"/>
      <c r="AY88" s="36"/>
      <c r="AZ88" s="36"/>
      <c r="BA88" s="36"/>
      <c r="BB88" s="36"/>
      <c r="BC88" s="36"/>
      <c r="BD88" s="36"/>
      <c r="BE88" s="36"/>
    </row>
    <row r="89" spans="2:59" s="30" customFormat="1" ht="15" x14ac:dyDescent="0.2">
      <c r="B89" s="151" t="s">
        <v>419</v>
      </c>
      <c r="C89" s="156"/>
      <c r="D89" s="86" t="s">
        <v>163</v>
      </c>
      <c r="G89" s="156"/>
      <c r="H89" s="81" t="s">
        <v>165</v>
      </c>
      <c r="J89" s="32" t="s">
        <v>322</v>
      </c>
      <c r="K89" s="92">
        <f>IF(ISNUMBER(L89),L89,Materiaalit!$I$18)</f>
        <v>5.0000000000000001E-3</v>
      </c>
      <c r="L89" s="39"/>
      <c r="M89" s="40" t="s">
        <v>247</v>
      </c>
      <c r="N89" s="40"/>
      <c r="O89" s="259"/>
      <c r="P89" s="40"/>
      <c r="Q89" s="50"/>
      <c r="R89" s="48" t="str">
        <f>IF(ISNUMBER(K89*V89*1000),K89*V89*1000,"")</f>
        <v/>
      </c>
      <c r="S89" s="98" t="s">
        <v>160</v>
      </c>
      <c r="T89" s="48" t="str">
        <f>IF(ISBLANK(C89),"",IF(D89="t",C89,C89*G89))</f>
        <v/>
      </c>
      <c r="U89" s="46">
        <f>Materiaalit!$M$18</f>
        <v>1.05</v>
      </c>
      <c r="V89" s="48" t="str">
        <f>IF(ISNUMBER(U89*T89),U89*T89,"")</f>
        <v/>
      </c>
      <c r="W89" s="104"/>
      <c r="X89" s="35"/>
      <c r="Y89" s="35"/>
      <c r="Z89" s="35"/>
      <c r="AA89" s="35"/>
      <c r="AB89" s="35"/>
      <c r="AC89" s="35"/>
      <c r="AD89" s="35"/>
      <c r="AE89" s="35"/>
      <c r="AF89" s="35"/>
      <c r="AG89" s="35"/>
      <c r="AH89" s="35"/>
      <c r="AI89" s="35"/>
      <c r="AJ89" s="35"/>
      <c r="AK89" s="35"/>
      <c r="AL89" s="35"/>
      <c r="AM89" s="35"/>
      <c r="AN89" s="36"/>
      <c r="AO89" s="36"/>
      <c r="AP89" s="36"/>
      <c r="AQ89" s="36"/>
      <c r="AR89" s="36"/>
      <c r="AS89" s="36"/>
      <c r="AT89" s="36"/>
      <c r="AU89" s="36"/>
      <c r="AV89" s="36"/>
      <c r="AW89" s="36"/>
      <c r="AX89" s="36"/>
      <c r="AY89" s="36"/>
      <c r="AZ89" s="36"/>
      <c r="BA89" s="36"/>
      <c r="BB89" s="36"/>
      <c r="BC89" s="36"/>
      <c r="BD89" s="36"/>
      <c r="BE89" s="36"/>
    </row>
    <row r="90" spans="2:59" s="30" customFormat="1" ht="15" x14ac:dyDescent="0.2">
      <c r="C90" s="33"/>
      <c r="D90" s="81"/>
      <c r="G90" s="33"/>
      <c r="H90" s="81"/>
      <c r="J90" s="32"/>
      <c r="K90" s="33"/>
      <c r="L90" s="33"/>
      <c r="M90" s="81"/>
      <c r="N90" s="81"/>
      <c r="O90" s="96"/>
      <c r="Q90" s="34"/>
      <c r="R90" s="95"/>
      <c r="S90" s="35"/>
      <c r="T90" s="35"/>
      <c r="U90" s="35"/>
      <c r="V90" s="35"/>
      <c r="W90" s="35"/>
      <c r="X90" s="35"/>
      <c r="Y90" s="35"/>
      <c r="Z90" s="35"/>
      <c r="AA90" s="35"/>
      <c r="AB90" s="35"/>
      <c r="AC90" s="35"/>
      <c r="AD90" s="35"/>
      <c r="AE90" s="35"/>
      <c r="AF90" s="35"/>
      <c r="AG90" s="35"/>
      <c r="AH90" s="35"/>
      <c r="AI90" s="35"/>
      <c r="AJ90" s="35"/>
      <c r="AK90" s="35"/>
      <c r="AL90" s="35"/>
      <c r="AM90" s="35"/>
      <c r="AN90" s="36"/>
      <c r="AO90" s="36"/>
      <c r="AP90" s="36"/>
      <c r="AQ90" s="36"/>
      <c r="AR90" s="36"/>
      <c r="AS90" s="36"/>
      <c r="AT90" s="36"/>
      <c r="AU90" s="36"/>
      <c r="AV90" s="36"/>
      <c r="AW90" s="36"/>
      <c r="AX90" s="36"/>
      <c r="AY90" s="36"/>
      <c r="AZ90" s="36"/>
      <c r="BA90" s="36"/>
      <c r="BB90" s="36"/>
      <c r="BC90" s="36"/>
      <c r="BD90" s="36"/>
      <c r="BE90" s="36"/>
    </row>
    <row r="91" spans="2:59" s="30" customFormat="1" ht="15" x14ac:dyDescent="0.2">
      <c r="B91" s="173" t="s">
        <v>540</v>
      </c>
      <c r="C91" s="33"/>
      <c r="D91" s="81"/>
      <c r="E91" s="57"/>
      <c r="G91" s="33"/>
      <c r="H91" s="81"/>
      <c r="J91" s="32"/>
      <c r="K91" s="41"/>
      <c r="L91" s="41"/>
      <c r="M91" s="40"/>
      <c r="N91" s="40"/>
      <c r="O91" s="259"/>
      <c r="P91" s="40"/>
      <c r="Q91" s="162"/>
      <c r="R91" s="163"/>
      <c r="S91" s="97"/>
      <c r="T91" s="163"/>
      <c r="U91" s="53"/>
      <c r="V91" s="163"/>
      <c r="X91" s="53"/>
      <c r="Y91" s="53"/>
      <c r="Z91" s="53"/>
      <c r="AA91" s="53"/>
      <c r="AB91" s="53"/>
      <c r="AC91" s="53"/>
      <c r="AD91" s="53"/>
      <c r="AE91" s="53"/>
      <c r="AF91" s="53"/>
      <c r="AG91" s="53"/>
      <c r="AH91" s="53"/>
      <c r="AI91" s="53"/>
      <c r="AJ91" s="53"/>
      <c r="AK91" s="53"/>
      <c r="AL91" s="53"/>
      <c r="AM91" s="53"/>
      <c r="AN91" s="54"/>
      <c r="AO91" s="54"/>
      <c r="AP91" s="54"/>
      <c r="AQ91" s="54"/>
      <c r="AR91" s="54"/>
      <c r="AS91" s="54"/>
      <c r="AT91" s="54"/>
      <c r="AU91" s="54"/>
      <c r="AV91" s="54"/>
      <c r="AW91" s="54"/>
      <c r="AX91" s="54"/>
      <c r="AY91" s="54"/>
      <c r="AZ91" s="54"/>
      <c r="BA91" s="54"/>
      <c r="BB91" s="54"/>
      <c r="BC91" s="54"/>
      <c r="BD91" s="54"/>
      <c r="BE91" s="54"/>
    </row>
    <row r="92" spans="2:59" s="30" customFormat="1" ht="15" x14ac:dyDescent="0.2">
      <c r="C92" s="33"/>
      <c r="D92" s="81"/>
      <c r="G92" s="33"/>
      <c r="H92" s="81"/>
      <c r="J92" s="32"/>
      <c r="K92" s="33"/>
      <c r="L92" s="33"/>
      <c r="M92" s="81"/>
      <c r="N92" s="81"/>
      <c r="O92" s="81"/>
      <c r="Q92" s="34"/>
      <c r="R92" s="95"/>
      <c r="S92" s="35"/>
      <c r="T92" s="35"/>
      <c r="U92" s="35"/>
      <c r="V92" s="35"/>
      <c r="W92" s="35"/>
      <c r="X92" s="35"/>
      <c r="Y92" s="35"/>
      <c r="Z92" s="35"/>
      <c r="AA92" s="35"/>
      <c r="AB92" s="35"/>
      <c r="AC92" s="35"/>
      <c r="AD92" s="35"/>
      <c r="AE92" s="35"/>
      <c r="AF92" s="35"/>
      <c r="AG92" s="35"/>
      <c r="AH92" s="35"/>
      <c r="AI92" s="35"/>
      <c r="AJ92" s="35"/>
      <c r="AK92" s="35"/>
      <c r="AL92" s="35"/>
      <c r="AM92" s="35"/>
      <c r="AN92" s="36"/>
      <c r="AO92" s="36"/>
      <c r="AP92" s="36"/>
      <c r="AQ92" s="36"/>
      <c r="AR92" s="36"/>
      <c r="AS92" s="36"/>
      <c r="AT92" s="36"/>
      <c r="AU92" s="36"/>
      <c r="AV92" s="36"/>
      <c r="AW92" s="36"/>
      <c r="AX92" s="36"/>
      <c r="AY92" s="36"/>
      <c r="AZ92" s="36"/>
      <c r="BA92" s="36"/>
      <c r="BB92" s="36"/>
      <c r="BC92" s="36"/>
      <c r="BD92" s="36"/>
      <c r="BE92" s="36"/>
    </row>
    <row r="93" spans="2:59" s="289" customFormat="1" ht="18" x14ac:dyDescent="0.2">
      <c r="B93" s="286" t="s">
        <v>324</v>
      </c>
      <c r="C93" s="287"/>
      <c r="D93" s="288"/>
      <c r="G93" s="287"/>
      <c r="H93" s="288"/>
      <c r="K93" s="287"/>
      <c r="L93" s="287"/>
      <c r="M93" s="288"/>
      <c r="N93" s="288"/>
      <c r="O93" s="291"/>
      <c r="P93" s="311"/>
      <c r="Q93" s="295"/>
      <c r="S93" s="294"/>
      <c r="T93" s="294"/>
      <c r="U93" s="294"/>
      <c r="V93" s="294"/>
      <c r="W93" s="294"/>
      <c r="X93" s="294"/>
      <c r="Y93" s="294"/>
      <c r="Z93" s="294"/>
      <c r="AA93" s="294"/>
      <c r="AB93" s="294"/>
      <c r="AC93" s="294"/>
      <c r="AD93" s="294"/>
      <c r="AE93" s="294"/>
      <c r="AF93" s="294"/>
      <c r="AG93" s="294"/>
      <c r="AH93" s="294"/>
      <c r="AI93" s="294"/>
      <c r="AJ93" s="294"/>
      <c r="AK93" s="294"/>
      <c r="AL93" s="294"/>
      <c r="AM93" s="294"/>
      <c r="AN93" s="295"/>
      <c r="AO93" s="295"/>
      <c r="AP93" s="295"/>
      <c r="AQ93" s="295"/>
      <c r="AR93" s="295"/>
      <c r="AS93" s="295"/>
      <c r="AT93" s="295"/>
      <c r="AU93" s="295"/>
      <c r="AV93" s="295"/>
      <c r="AW93" s="295"/>
      <c r="AX93" s="295"/>
      <c r="AY93" s="295"/>
      <c r="AZ93" s="295"/>
      <c r="BA93" s="295"/>
      <c r="BB93" s="295"/>
      <c r="BC93" s="295"/>
      <c r="BD93" s="295"/>
      <c r="BE93" s="295"/>
    </row>
    <row r="94" spans="2:59" s="30" customFormat="1" ht="15.75" x14ac:dyDescent="0.2">
      <c r="B94" s="8"/>
      <c r="C94" s="33"/>
      <c r="D94" s="81"/>
      <c r="G94" s="37"/>
      <c r="H94" s="81"/>
      <c r="J94" s="32"/>
      <c r="K94" s="37"/>
      <c r="L94" s="37"/>
      <c r="M94" s="83"/>
      <c r="N94" s="83"/>
      <c r="O94" s="83"/>
      <c r="P94" s="37"/>
      <c r="Q94" s="34"/>
      <c r="R94" s="95"/>
      <c r="S94" s="35"/>
      <c r="T94" s="35"/>
      <c r="U94" s="35"/>
      <c r="V94" s="35"/>
      <c r="W94" s="35"/>
      <c r="X94" s="35"/>
      <c r="Y94" s="35"/>
      <c r="Z94" s="35"/>
      <c r="AA94" s="35"/>
      <c r="AB94" s="35"/>
      <c r="AC94" s="35"/>
      <c r="AD94" s="35"/>
      <c r="AE94" s="35"/>
      <c r="AF94" s="35"/>
      <c r="AG94" s="35"/>
      <c r="AH94" s="35"/>
      <c r="AI94" s="35"/>
      <c r="AJ94" s="35"/>
      <c r="AK94" s="35"/>
      <c r="AL94" s="35"/>
      <c r="AM94" s="35"/>
      <c r="AN94" s="36"/>
      <c r="AO94" s="36"/>
      <c r="AP94" s="36"/>
      <c r="AQ94" s="36"/>
      <c r="AR94" s="36"/>
      <c r="AS94" s="36"/>
      <c r="AT94" s="36"/>
      <c r="AU94" s="36"/>
      <c r="AV94" s="36"/>
      <c r="AW94" s="36"/>
      <c r="AX94" s="36"/>
      <c r="AY94" s="36"/>
      <c r="AZ94" s="36"/>
      <c r="BA94" s="36"/>
      <c r="BB94" s="36"/>
      <c r="BC94" s="36"/>
      <c r="BD94" s="36"/>
      <c r="BE94" s="36"/>
    </row>
    <row r="95" spans="2:59" s="30" customFormat="1" ht="15.75" x14ac:dyDescent="0.2">
      <c r="B95" s="91" t="str">
        <f>IF(LEFT(B85,5)="Louhe","Louhe",B85)</f>
        <v>Louhe</v>
      </c>
      <c r="C95" s="33"/>
      <c r="D95" s="81"/>
      <c r="G95" s="37" t="s">
        <v>183</v>
      </c>
      <c r="H95" s="81"/>
      <c r="I95" s="81"/>
      <c r="J95" s="32"/>
      <c r="K95" s="37" t="s">
        <v>297</v>
      </c>
      <c r="L95" s="37" t="s">
        <v>185</v>
      </c>
      <c r="M95" s="83"/>
      <c r="N95" s="83"/>
      <c r="O95" s="249" t="s">
        <v>584</v>
      </c>
      <c r="P95" s="144"/>
      <c r="Q95" s="36"/>
      <c r="R95" s="35" t="s">
        <v>318</v>
      </c>
      <c r="S95" s="35"/>
      <c r="T95" s="35" t="s">
        <v>400</v>
      </c>
      <c r="U95" s="35" t="s">
        <v>399</v>
      </c>
      <c r="V95" s="35" t="s">
        <v>397</v>
      </c>
      <c r="W95" s="35" t="s">
        <v>398</v>
      </c>
      <c r="X95" s="35" t="s">
        <v>401</v>
      </c>
      <c r="Y95" s="35" t="s">
        <v>403</v>
      </c>
      <c r="Z95" s="35" t="s">
        <v>402</v>
      </c>
      <c r="AA95" s="35" t="s">
        <v>186</v>
      </c>
      <c r="AB95" s="35" t="s">
        <v>345</v>
      </c>
      <c r="AC95" s="35" t="s">
        <v>404</v>
      </c>
      <c r="AD95" s="35" t="s">
        <v>346</v>
      </c>
      <c r="AE95" s="35" t="s">
        <v>405</v>
      </c>
      <c r="AF95" s="35" t="s">
        <v>406</v>
      </c>
      <c r="AG95" s="35" t="s">
        <v>578</v>
      </c>
      <c r="AH95" s="35" t="s">
        <v>190</v>
      </c>
      <c r="AI95" s="35" t="s">
        <v>249</v>
      </c>
      <c r="AJ95" s="35" t="s">
        <v>191</v>
      </c>
      <c r="AK95" s="104"/>
      <c r="AL95" s="35"/>
      <c r="AM95" s="35"/>
      <c r="AN95" s="36"/>
      <c r="AO95" s="36"/>
      <c r="AP95" s="36"/>
      <c r="AQ95" s="36"/>
      <c r="AR95" s="36"/>
      <c r="AS95" s="36"/>
      <c r="AT95" s="36"/>
      <c r="AU95" s="36"/>
      <c r="AV95" s="36"/>
      <c r="AW95" s="36"/>
      <c r="AX95" s="36"/>
      <c r="AY95" s="36"/>
      <c r="AZ95" s="36"/>
      <c r="BA95" s="36"/>
      <c r="BB95" s="36"/>
      <c r="BC95" s="36"/>
      <c r="BD95" s="36"/>
      <c r="BE95" s="36"/>
      <c r="BF95" s="104"/>
      <c r="BG95" s="104"/>
    </row>
    <row r="96" spans="2:59" s="30" customFormat="1" ht="30" x14ac:dyDescent="0.2">
      <c r="B96" s="44" t="s">
        <v>475</v>
      </c>
      <c r="C96" s="108" t="str">
        <f>IF(ISNUMBER(C85),C85,"")</f>
        <v/>
      </c>
      <c r="D96" s="109" t="str">
        <f>D85</f>
        <v>m3ktr</v>
      </c>
      <c r="G96" s="108">
        <f>IF(ISNUMBER(G85),G85,"")</f>
        <v>1.8</v>
      </c>
      <c r="H96" s="81" t="str">
        <f>IF(D96="t","t/t","t/m3")</f>
        <v>t/m3</v>
      </c>
      <c r="I96" s="81"/>
      <c r="J96" s="169" t="s">
        <v>395</v>
      </c>
      <c r="K96" s="92" t="str">
        <f>IFERROR(IF(ISNUMBER(L96),L96,(VLOOKUP(C97,Kalusto!$C$45:$G$84,5,FALSE)*VLOOKUP(C98,Muut!$D$40:$E$43,2,FALSE))),"--")</f>
        <v>--</v>
      </c>
      <c r="L96" s="39"/>
      <c r="M96" s="40" t="s">
        <v>184</v>
      </c>
      <c r="N96" s="40"/>
      <c r="O96" s="250"/>
      <c r="P96" s="145"/>
      <c r="Q96" s="100"/>
      <c r="R96" s="48" t="str">
        <f>IF(AND(NOT(ISNUMBER(AB96)),NOT(ISNUMBER(AG96))),"",IF(ISNUMBER(AB96),AB96,0)+IF(ISNUMBER(AG96),AG96,0))</f>
        <v/>
      </c>
      <c r="S96" s="98" t="s">
        <v>160</v>
      </c>
      <c r="T96" s="46" t="str">
        <f>IFERROR(IF(ISNUMBER(L96),"Kohdetieto",VLOOKUP(C97,Kalusto!$C$45:$L$84,7,FALSE)),"--")</f>
        <v>--</v>
      </c>
      <c r="U96" s="46" t="str">
        <f>IFERROR(IF(ISNUMBER(L96),"Kohdetieto",VLOOKUP(C97,Kalusto!$C$45:$L$84,8,FALSE)),"--")</f>
        <v>--</v>
      </c>
      <c r="V96" s="47" t="str">
        <f>IFERROR(IF(ISNUMBER(L96),"Kohdetieto",VLOOKUP(C97,Kalusto!$C$45:$L$84,9,FALSE)),"--")</f>
        <v>--</v>
      </c>
      <c r="W96" s="47" t="str">
        <f>IFERROR(IF(ISNUMBER(L96),"Kohdetieto",VLOOKUP(C97,Kalusto!$C$45:$L$84,10,FALSE)),"--")</f>
        <v>--</v>
      </c>
      <c r="X96" s="48" t="str">
        <f>IF(ISBLANK(C96),"",IF(D96="t",C96,IF(ISNUMBER(C96*G96),C96*G96,"")))</f>
        <v/>
      </c>
      <c r="Y96" s="46" t="str">
        <f>IF(ISNUMBER(C99),C99,"")</f>
        <v/>
      </c>
      <c r="Z96" s="48" t="str">
        <f>IF(ISNUMBER(X96/(U96*V96)*Y96),X96/(U96*V96)*Y96,"")</f>
        <v/>
      </c>
      <c r="AA96" s="49" t="str">
        <f>IF(ISNUMBER(L96),L96,K96)</f>
        <v>--</v>
      </c>
      <c r="AB96" s="48" t="str">
        <f>IF(ISNUMBER(Y96*X96*K96),Y96*X96*K96,"")</f>
        <v/>
      </c>
      <c r="AC96" s="48" t="str">
        <f>IF(C121="Kyllä",Y96,"")</f>
        <v/>
      </c>
      <c r="AD96" s="48" t="str">
        <f>IF(C121="Kyllä",IF(ISNUMBER(X96/(U96*V96)),X96/(U96*V96),""),"")</f>
        <v/>
      </c>
      <c r="AE96" s="48" t="str">
        <f>IF(ISNUMBER(AD96*AC96),AD96*AC96,"")</f>
        <v/>
      </c>
      <c r="AF96" s="49" t="str">
        <f>IF(ISNUMBER(L97),L97,K97)</f>
        <v>--</v>
      </c>
      <c r="AG96" s="48" t="str">
        <f>IF(ISNUMBER(AC96*AD96*K97),AC96*AD96*K97,"")</f>
        <v/>
      </c>
      <c r="AH96" s="46">
        <f>IF(T96="Jakelukuorma-auto",0,IF(T96="Maansiirtoauto",4,IF(T96="Puoliperävaunu",6,8)))</f>
        <v>8</v>
      </c>
      <c r="AI96" s="46">
        <f>IF(AND(T96="Jakelukuorma-auto",U96=6),0,IF(AND(T96="Jakelukuorma-auto",U96=15),2,0))</f>
        <v>0</v>
      </c>
      <c r="AJ96" s="46">
        <f>IF(W96="maantieajo",0,1)</f>
        <v>1</v>
      </c>
      <c r="AK96" s="104"/>
      <c r="AL96" s="35"/>
      <c r="AM96" s="35"/>
      <c r="AN96" s="36"/>
      <c r="AO96" s="36"/>
      <c r="AP96" s="36"/>
      <c r="AQ96" s="36"/>
      <c r="AR96" s="36"/>
      <c r="AS96" s="36"/>
      <c r="AT96" s="36"/>
      <c r="AU96" s="36"/>
      <c r="AV96" s="36"/>
      <c r="AW96" s="36"/>
      <c r="AX96" s="36"/>
      <c r="AY96" s="36"/>
      <c r="AZ96" s="36"/>
      <c r="BA96" s="36"/>
      <c r="BB96" s="36"/>
      <c r="BC96" s="36"/>
      <c r="BD96" s="36"/>
      <c r="BE96" s="36"/>
      <c r="BF96" s="104"/>
      <c r="BG96" s="104"/>
    </row>
    <row r="97" spans="2:59" s="30" customFormat="1" ht="30" x14ac:dyDescent="0.2">
      <c r="B97" s="166" t="s">
        <v>463</v>
      </c>
      <c r="C97" s="471" t="s">
        <v>298</v>
      </c>
      <c r="D97" s="472"/>
      <c r="E97" s="472"/>
      <c r="F97" s="472"/>
      <c r="G97" s="473"/>
      <c r="H97" s="81"/>
      <c r="I97" s="81"/>
      <c r="J97" s="32" t="s">
        <v>396</v>
      </c>
      <c r="K97" s="92" t="str">
        <f>IFERROR(IF(ISNUMBER(L97),L97,IF($C$121="Ei","",VLOOKUP(C97,Kalusto!$C$45:$U$84,19,FALSE)*VLOOKUP(C98,Muut!$D$40:$E$43,2,FALSE))),"--")</f>
        <v>--</v>
      </c>
      <c r="L97" s="39"/>
      <c r="M97" s="40" t="s">
        <v>188</v>
      </c>
      <c r="N97" s="40"/>
      <c r="O97" s="259"/>
      <c r="P97" s="143"/>
      <c r="Q97" s="101"/>
      <c r="R97" s="35"/>
      <c r="S97" s="35"/>
      <c r="T97" s="35"/>
      <c r="U97" s="35"/>
      <c r="V97" s="35"/>
      <c r="W97" s="35"/>
      <c r="X97" s="35"/>
      <c r="Y97" s="35"/>
      <c r="Z97" s="35"/>
      <c r="AA97" s="35"/>
      <c r="AB97" s="35"/>
      <c r="AC97" s="35"/>
      <c r="AD97" s="35"/>
      <c r="AE97" s="35"/>
      <c r="AF97" s="35"/>
      <c r="AG97" s="35"/>
      <c r="AH97" s="35"/>
      <c r="AI97" s="35"/>
      <c r="AJ97" s="35"/>
      <c r="AK97" s="104"/>
      <c r="AL97" s="35"/>
      <c r="AM97" s="35"/>
      <c r="AN97" s="36"/>
      <c r="AO97" s="36"/>
      <c r="AP97" s="36"/>
      <c r="AQ97" s="36"/>
      <c r="AR97" s="36"/>
      <c r="AS97" s="36"/>
      <c r="AT97" s="36"/>
      <c r="AU97" s="36"/>
      <c r="AV97" s="36"/>
      <c r="AW97" s="36"/>
      <c r="AX97" s="36"/>
      <c r="AY97" s="36"/>
      <c r="AZ97" s="36"/>
      <c r="BA97" s="36"/>
      <c r="BB97" s="36"/>
      <c r="BC97" s="36"/>
      <c r="BD97" s="36"/>
      <c r="BE97" s="36"/>
      <c r="BF97" s="104"/>
      <c r="BG97" s="104"/>
    </row>
    <row r="98" spans="2:59" s="30" customFormat="1" ht="15" x14ac:dyDescent="0.2">
      <c r="B98" s="182" t="s">
        <v>457</v>
      </c>
      <c r="C98" s="156" t="s">
        <v>309</v>
      </c>
      <c r="D98" s="33"/>
      <c r="E98" s="33"/>
      <c r="F98" s="33"/>
      <c r="G98" s="33"/>
      <c r="H98" s="57"/>
      <c r="J98" s="169"/>
      <c r="K98" s="169"/>
      <c r="L98" s="169"/>
      <c r="M98" s="40"/>
      <c r="N98" s="40"/>
      <c r="O98" s="259"/>
      <c r="Q98" s="45"/>
      <c r="R98" s="98"/>
      <c r="S98" s="98"/>
      <c r="T98" s="35"/>
      <c r="U98" s="35"/>
      <c r="V98" s="177"/>
      <c r="W98" s="177"/>
      <c r="X98" s="59"/>
      <c r="Y98" s="35"/>
      <c r="Z98" s="59"/>
      <c r="AA98" s="178"/>
      <c r="AB98" s="59"/>
      <c r="AC98" s="59"/>
      <c r="AD98" s="59"/>
      <c r="AE98" s="59"/>
      <c r="AF98" s="178"/>
      <c r="AG98" s="59"/>
      <c r="AH98" s="35"/>
      <c r="AI98" s="35"/>
      <c r="AJ98" s="35"/>
      <c r="AK98" s="104"/>
      <c r="AL98" s="35"/>
      <c r="AM98" s="35"/>
      <c r="AN98" s="36"/>
      <c r="AO98" s="36"/>
      <c r="AP98" s="36"/>
      <c r="AQ98" s="36"/>
      <c r="AR98" s="36"/>
      <c r="AS98" s="36"/>
      <c r="AT98" s="36"/>
      <c r="AU98" s="36"/>
      <c r="AV98" s="36"/>
      <c r="AW98" s="36"/>
      <c r="AX98" s="36"/>
      <c r="AY98" s="36"/>
      <c r="AZ98" s="36"/>
      <c r="BA98" s="36"/>
      <c r="BB98" s="36"/>
      <c r="BC98" s="36"/>
      <c r="BD98" s="36"/>
      <c r="BE98" s="36"/>
    </row>
    <row r="99" spans="2:59" s="30" customFormat="1" ht="15" x14ac:dyDescent="0.2">
      <c r="B99" s="44" t="s">
        <v>474</v>
      </c>
      <c r="C99" s="158"/>
      <c r="D99" s="81" t="s">
        <v>5</v>
      </c>
      <c r="G99" s="33"/>
      <c r="H99" s="81"/>
      <c r="I99" s="81"/>
      <c r="J99" s="32"/>
      <c r="K99" s="33"/>
      <c r="L99" s="33"/>
      <c r="M99" s="81"/>
      <c r="N99" s="81"/>
      <c r="O99" s="96"/>
      <c r="P99" s="146"/>
      <c r="Q99" s="101"/>
      <c r="R99" s="35"/>
      <c r="S99" s="35"/>
      <c r="T99" s="35"/>
      <c r="U99" s="35"/>
      <c r="V99" s="35"/>
      <c r="W99" s="35"/>
      <c r="X99" s="35"/>
      <c r="Y99" s="35"/>
      <c r="Z99" s="35"/>
      <c r="AA99" s="35"/>
      <c r="AB99" s="35"/>
      <c r="AC99" s="35"/>
      <c r="AD99" s="35"/>
      <c r="AE99" s="35"/>
      <c r="AF99" s="35"/>
      <c r="AG99" s="35"/>
      <c r="AH99" s="35"/>
      <c r="AI99" s="35"/>
      <c r="AJ99" s="35"/>
      <c r="AK99" s="104"/>
      <c r="AL99" s="35"/>
      <c r="AM99" s="35"/>
      <c r="AN99" s="36"/>
      <c r="AO99" s="36"/>
      <c r="AP99" s="36"/>
      <c r="AQ99" s="36"/>
      <c r="AR99" s="36"/>
      <c r="AS99" s="36"/>
      <c r="AT99" s="36"/>
      <c r="AU99" s="36"/>
      <c r="AV99" s="36"/>
      <c r="AW99" s="36"/>
      <c r="AX99" s="36"/>
      <c r="AY99" s="36"/>
      <c r="AZ99" s="36"/>
      <c r="BA99" s="36"/>
      <c r="BB99" s="36"/>
      <c r="BC99" s="36"/>
      <c r="BD99" s="36"/>
      <c r="BE99" s="36"/>
      <c r="BF99" s="104"/>
      <c r="BG99" s="104"/>
    </row>
    <row r="100" spans="2:59" s="30" customFormat="1" ht="15.75" x14ac:dyDescent="0.2">
      <c r="B100" s="91" t="str">
        <f>IF(LEFT(B86,6)="Murske","Murske",B86)</f>
        <v>Murske</v>
      </c>
      <c r="C100" s="33"/>
      <c r="D100" s="81"/>
      <c r="G100" s="33"/>
      <c r="H100" s="81"/>
      <c r="I100" s="81"/>
      <c r="J100" s="32"/>
      <c r="K100" s="37" t="s">
        <v>297</v>
      </c>
      <c r="L100" s="37" t="s">
        <v>185</v>
      </c>
      <c r="M100" s="83"/>
      <c r="N100" s="83"/>
      <c r="O100" s="260"/>
      <c r="P100" s="144"/>
      <c r="Q100" s="36"/>
      <c r="R100" s="35" t="s">
        <v>318</v>
      </c>
      <c r="S100" s="35"/>
      <c r="T100" s="35" t="s">
        <v>400</v>
      </c>
      <c r="U100" s="35" t="s">
        <v>399</v>
      </c>
      <c r="V100" s="35" t="s">
        <v>397</v>
      </c>
      <c r="W100" s="35" t="s">
        <v>398</v>
      </c>
      <c r="X100" s="35" t="s">
        <v>401</v>
      </c>
      <c r="Y100" s="35" t="s">
        <v>403</v>
      </c>
      <c r="Z100" s="35" t="s">
        <v>402</v>
      </c>
      <c r="AA100" s="35" t="s">
        <v>186</v>
      </c>
      <c r="AB100" s="35" t="s">
        <v>345</v>
      </c>
      <c r="AC100" s="35" t="s">
        <v>404</v>
      </c>
      <c r="AD100" s="35" t="s">
        <v>346</v>
      </c>
      <c r="AE100" s="35" t="s">
        <v>405</v>
      </c>
      <c r="AF100" s="35" t="s">
        <v>406</v>
      </c>
      <c r="AG100" s="35" t="s">
        <v>578</v>
      </c>
      <c r="AH100" s="35" t="s">
        <v>190</v>
      </c>
      <c r="AI100" s="35" t="s">
        <v>249</v>
      </c>
      <c r="AJ100" s="35" t="s">
        <v>191</v>
      </c>
      <c r="AK100" s="104"/>
      <c r="AL100" s="35"/>
      <c r="AM100" s="35"/>
      <c r="AN100" s="36"/>
      <c r="AO100" s="36"/>
      <c r="AP100" s="36"/>
      <c r="AQ100" s="36"/>
      <c r="AR100" s="36"/>
      <c r="AS100" s="36"/>
      <c r="AT100" s="36"/>
      <c r="AU100" s="36"/>
      <c r="AV100" s="36"/>
      <c r="AW100" s="36"/>
      <c r="AX100" s="36"/>
      <c r="AY100" s="36"/>
      <c r="AZ100" s="36"/>
      <c r="BA100" s="36"/>
      <c r="BB100" s="36"/>
      <c r="BC100" s="36"/>
      <c r="BD100" s="36"/>
      <c r="BE100" s="36"/>
      <c r="BF100" s="104"/>
      <c r="BG100" s="104"/>
    </row>
    <row r="101" spans="2:59" s="30" customFormat="1" ht="30" x14ac:dyDescent="0.2">
      <c r="B101" s="44" t="s">
        <v>475</v>
      </c>
      <c r="C101" s="108" t="str">
        <f>IF(ISNUMBER(C86),C86,"")</f>
        <v/>
      </c>
      <c r="D101" s="109" t="str">
        <f>D86</f>
        <v>m3ktr</v>
      </c>
      <c r="G101" s="108">
        <f>IF(ISNUMBER(G86),G86,"")</f>
        <v>1.6666666666666667</v>
      </c>
      <c r="H101" s="81" t="str">
        <f>IF(D101="t","t/t","t/m3")</f>
        <v>t/m3</v>
      </c>
      <c r="I101" s="81"/>
      <c r="J101" s="169" t="s">
        <v>395</v>
      </c>
      <c r="K101" s="92" t="str">
        <f>IFERROR(IF(ISNUMBER(L101),L101,(VLOOKUP(C102,Kalusto!$C$45:$G$84,5,FALSE)*VLOOKUP(C103,Muut!$D$40:$E$43,2,FALSE))),"--")</f>
        <v>--</v>
      </c>
      <c r="L101" s="39"/>
      <c r="M101" s="40" t="s">
        <v>184</v>
      </c>
      <c r="N101" s="40"/>
      <c r="O101" s="259"/>
      <c r="P101" s="145"/>
      <c r="Q101" s="100"/>
      <c r="R101" s="48" t="str">
        <f>IF(AND(NOT(ISNUMBER(AB101)),NOT(ISNUMBER(AG101))),"",IF(ISNUMBER(AB101),AB101,0)+IF(ISNUMBER(AG101),AG101,0))</f>
        <v/>
      </c>
      <c r="S101" s="98" t="s">
        <v>160</v>
      </c>
      <c r="T101" s="46" t="str">
        <f>IFERROR(IF(ISNUMBER(L101),"Kohdetieto",VLOOKUP(C102,Kalusto!$C$45:$L$84,7,FALSE)),"--")</f>
        <v>--</v>
      </c>
      <c r="U101" s="46" t="str">
        <f>IFERROR(IF(ISNUMBER(L101),"Kohdetieto",VLOOKUP(C102,Kalusto!$C$45:$L$84,8,FALSE)),"--")</f>
        <v>--</v>
      </c>
      <c r="V101" s="47" t="str">
        <f>IFERROR(IF(ISNUMBER(L101),"Kohdetieto",VLOOKUP(C102,Kalusto!$C$45:$L$84,9,FALSE)),"--")</f>
        <v>--</v>
      </c>
      <c r="W101" s="47" t="str">
        <f>IFERROR(IF(ISNUMBER(L101),"Kohdetieto",VLOOKUP(C102,Kalusto!$C$45:$L$84,10,FALSE)),"--")</f>
        <v>--</v>
      </c>
      <c r="X101" s="48" t="str">
        <f>IF(ISBLANK(C101),"",IF(D101="t",C101,IF(ISNUMBER(C101*G101),C101*G101,"")))</f>
        <v/>
      </c>
      <c r="Y101" s="46" t="str">
        <f>IF(ISNUMBER(C104),C104,"")</f>
        <v/>
      </c>
      <c r="Z101" s="48" t="str">
        <f>IF(ISNUMBER(X101/(U101*V101)*Y101),X101/(U101*V101)*Y101,"")</f>
        <v/>
      </c>
      <c r="AA101" s="49" t="str">
        <f>IF(ISNUMBER(L101),L101,K101)</f>
        <v>--</v>
      </c>
      <c r="AB101" s="48" t="str">
        <f>IF(ISNUMBER(Y101*X101*K101),Y101*X101*K101,"")</f>
        <v/>
      </c>
      <c r="AC101" s="48" t="str">
        <f>IF(C121="Kyllä",Y101,"")</f>
        <v/>
      </c>
      <c r="AD101" s="48" t="str">
        <f>IF(C121="Kyllä",IF(ISNUMBER(X101/(U101*V101)),X101/(U101*V101),""),"")</f>
        <v/>
      </c>
      <c r="AE101" s="48" t="str">
        <f>IF(ISNUMBER(AD101*AC101),AD101*AC101,"")</f>
        <v/>
      </c>
      <c r="AF101" s="49" t="str">
        <f>IF(ISNUMBER(L102),L102,K102)</f>
        <v>--</v>
      </c>
      <c r="AG101" s="48" t="str">
        <f>IF(ISNUMBER(AC101*AD101*K102),AC101*AD101*K102,"")</f>
        <v/>
      </c>
      <c r="AH101" s="46">
        <f>IF(T101="Jakelukuorma-auto",0,IF(T101="Maansiirtoauto",4,IF(T101="Puoliperävaunu",6,8)))</f>
        <v>8</v>
      </c>
      <c r="AI101" s="46">
        <f>IF(AND(T101="Jakelukuorma-auto",U101=6),0,IF(AND(T101="Jakelukuorma-auto",U101=15),2,0))</f>
        <v>0</v>
      </c>
      <c r="AJ101" s="46">
        <f>IF(W101="maantieajo",0,1)</f>
        <v>1</v>
      </c>
      <c r="AK101" s="104"/>
      <c r="AL101" s="35"/>
      <c r="AM101" s="35"/>
      <c r="AN101" s="36"/>
      <c r="AO101" s="36"/>
      <c r="AP101" s="36"/>
      <c r="AQ101" s="36"/>
      <c r="AR101" s="36"/>
      <c r="AS101" s="36"/>
      <c r="AT101" s="36"/>
      <c r="AU101" s="36"/>
      <c r="AV101" s="36"/>
      <c r="AW101" s="36"/>
      <c r="AX101" s="36"/>
      <c r="AY101" s="36"/>
      <c r="AZ101" s="36"/>
      <c r="BA101" s="36"/>
      <c r="BB101" s="36"/>
      <c r="BC101" s="36"/>
      <c r="BD101" s="36"/>
      <c r="BE101" s="36"/>
      <c r="BF101" s="104"/>
      <c r="BG101" s="104"/>
    </row>
    <row r="102" spans="2:59" s="30" customFormat="1" ht="30" x14ac:dyDescent="0.2">
      <c r="B102" s="166" t="s">
        <v>463</v>
      </c>
      <c r="C102" s="471" t="s">
        <v>298</v>
      </c>
      <c r="D102" s="472"/>
      <c r="E102" s="472"/>
      <c r="F102" s="472"/>
      <c r="G102" s="473"/>
      <c r="H102" s="81"/>
      <c r="I102" s="81"/>
      <c r="J102" s="32" t="s">
        <v>396</v>
      </c>
      <c r="K102" s="92" t="str">
        <f>IFERROR(IF(ISNUMBER(L102),L102,IF($C$121="Ei","",VLOOKUP(C102,Kalusto!$C$45:$U$84,19,FALSE)*VLOOKUP(C103,Muut!$D$40:$E$43,2,FALSE))),"--")</f>
        <v>--</v>
      </c>
      <c r="L102" s="39"/>
      <c r="M102" s="40" t="s">
        <v>188</v>
      </c>
      <c r="N102" s="40"/>
      <c r="O102" s="259"/>
      <c r="P102" s="143"/>
      <c r="Q102" s="101"/>
      <c r="R102" s="35"/>
      <c r="S102" s="35"/>
      <c r="T102" s="35"/>
      <c r="U102" s="35"/>
      <c r="V102" s="35"/>
      <c r="W102" s="35"/>
      <c r="X102" s="35"/>
      <c r="Y102" s="35"/>
      <c r="Z102" s="35"/>
      <c r="AA102" s="35"/>
      <c r="AB102" s="35"/>
      <c r="AC102" s="35"/>
      <c r="AD102" s="35"/>
      <c r="AE102" s="35"/>
      <c r="AF102" s="35"/>
      <c r="AG102" s="35"/>
      <c r="AH102" s="35"/>
      <c r="AI102" s="35"/>
      <c r="AJ102" s="35"/>
      <c r="AK102" s="104"/>
      <c r="AL102" s="35"/>
      <c r="AM102" s="35"/>
      <c r="AN102" s="36"/>
      <c r="AO102" s="36"/>
      <c r="AP102" s="36"/>
      <c r="AQ102" s="36"/>
      <c r="AR102" s="36"/>
      <c r="AS102" s="36"/>
      <c r="AT102" s="36"/>
      <c r="AU102" s="36"/>
      <c r="AV102" s="36"/>
      <c r="AW102" s="36"/>
      <c r="AX102" s="36"/>
      <c r="AY102" s="36"/>
      <c r="AZ102" s="36"/>
      <c r="BA102" s="36"/>
      <c r="BB102" s="36"/>
      <c r="BC102" s="36"/>
      <c r="BD102" s="36"/>
      <c r="BE102" s="36"/>
      <c r="BF102" s="104"/>
      <c r="BG102" s="104"/>
    </row>
    <row r="103" spans="2:59" s="30" customFormat="1" ht="15" x14ac:dyDescent="0.2">
      <c r="B103" s="182" t="s">
        <v>457</v>
      </c>
      <c r="C103" s="156" t="s">
        <v>309</v>
      </c>
      <c r="D103" s="33"/>
      <c r="E103" s="33"/>
      <c r="F103" s="33"/>
      <c r="G103" s="33"/>
      <c r="H103" s="57"/>
      <c r="J103" s="169"/>
      <c r="K103" s="169"/>
      <c r="L103" s="169"/>
      <c r="M103" s="40"/>
      <c r="N103" s="40"/>
      <c r="O103" s="259"/>
      <c r="Q103" s="45"/>
      <c r="R103" s="98"/>
      <c r="S103" s="98"/>
      <c r="T103" s="35"/>
      <c r="U103" s="35"/>
      <c r="V103" s="177"/>
      <c r="W103" s="177"/>
      <c r="X103" s="59"/>
      <c r="Y103" s="35"/>
      <c r="Z103" s="59"/>
      <c r="AA103" s="178"/>
      <c r="AB103" s="59"/>
      <c r="AC103" s="59"/>
      <c r="AD103" s="59"/>
      <c r="AE103" s="59"/>
      <c r="AF103" s="178"/>
      <c r="AG103" s="59"/>
      <c r="AH103" s="35"/>
      <c r="AI103" s="35"/>
      <c r="AJ103" s="35"/>
      <c r="AK103" s="104"/>
      <c r="AL103" s="35"/>
      <c r="AM103" s="35"/>
      <c r="AN103" s="36"/>
      <c r="AO103" s="36"/>
      <c r="AP103" s="36"/>
      <c r="AQ103" s="36"/>
      <c r="AR103" s="36"/>
      <c r="AS103" s="36"/>
      <c r="AT103" s="36"/>
      <c r="AU103" s="36"/>
      <c r="AV103" s="36"/>
      <c r="AW103" s="36"/>
      <c r="AX103" s="36"/>
      <c r="AY103" s="36"/>
      <c r="AZ103" s="36"/>
      <c r="BA103" s="36"/>
      <c r="BB103" s="36"/>
      <c r="BC103" s="36"/>
      <c r="BD103" s="36"/>
      <c r="BE103" s="36"/>
    </row>
    <row r="104" spans="2:59" s="30" customFormat="1" ht="15" x14ac:dyDescent="0.2">
      <c r="B104" s="44" t="s">
        <v>474</v>
      </c>
      <c r="C104" s="158"/>
      <c r="D104" s="81" t="s">
        <v>5</v>
      </c>
      <c r="G104" s="33"/>
      <c r="H104" s="81"/>
      <c r="I104" s="81"/>
      <c r="J104" s="32"/>
      <c r="K104" s="33"/>
      <c r="L104" s="33"/>
      <c r="M104" s="81"/>
      <c r="N104" s="81"/>
      <c r="O104" s="96"/>
      <c r="P104" s="146"/>
      <c r="Q104" s="101"/>
      <c r="R104" s="35"/>
      <c r="S104" s="35"/>
      <c r="T104" s="35"/>
      <c r="U104" s="35"/>
      <c r="V104" s="35"/>
      <c r="W104" s="35"/>
      <c r="X104" s="35"/>
      <c r="Y104" s="35"/>
      <c r="Z104" s="35"/>
      <c r="AA104" s="35"/>
      <c r="AB104" s="35"/>
      <c r="AC104" s="35"/>
      <c r="AD104" s="35"/>
      <c r="AE104" s="35"/>
      <c r="AF104" s="35"/>
      <c r="AG104" s="35"/>
      <c r="AH104" s="35"/>
      <c r="AI104" s="35"/>
      <c r="AJ104" s="35"/>
      <c r="AK104" s="104"/>
      <c r="AL104" s="35"/>
      <c r="AM104" s="35"/>
      <c r="AN104" s="36"/>
      <c r="AO104" s="36"/>
      <c r="AP104" s="36"/>
      <c r="AQ104" s="36"/>
      <c r="AR104" s="36"/>
      <c r="AS104" s="36"/>
      <c r="AT104" s="36"/>
      <c r="AU104" s="36"/>
      <c r="AV104" s="36"/>
      <c r="AW104" s="36"/>
      <c r="AX104" s="36"/>
      <c r="AY104" s="36"/>
      <c r="AZ104" s="36"/>
      <c r="BA104" s="36"/>
      <c r="BB104" s="36"/>
      <c r="BC104" s="36"/>
      <c r="BD104" s="36"/>
      <c r="BE104" s="36"/>
      <c r="BF104" s="104"/>
      <c r="BG104" s="104"/>
    </row>
    <row r="105" spans="2:59" s="30" customFormat="1" ht="15.75" x14ac:dyDescent="0.2">
      <c r="B105" s="91" t="str">
        <f>IF(LEFT(B87,4)="Sora","Sora",B87)</f>
        <v>Sora</v>
      </c>
      <c r="C105" s="33"/>
      <c r="D105" s="81"/>
      <c r="G105" s="33"/>
      <c r="H105" s="81"/>
      <c r="I105" s="81"/>
      <c r="J105" s="32"/>
      <c r="K105" s="37" t="s">
        <v>297</v>
      </c>
      <c r="L105" s="37" t="s">
        <v>185</v>
      </c>
      <c r="M105" s="83"/>
      <c r="N105" s="83"/>
      <c r="O105" s="260"/>
      <c r="P105" s="144"/>
      <c r="Q105" s="36"/>
      <c r="R105" s="35" t="s">
        <v>318</v>
      </c>
      <c r="S105" s="35"/>
      <c r="T105" s="35" t="s">
        <v>400</v>
      </c>
      <c r="U105" s="35" t="s">
        <v>399</v>
      </c>
      <c r="V105" s="35" t="s">
        <v>397</v>
      </c>
      <c r="W105" s="35" t="s">
        <v>398</v>
      </c>
      <c r="X105" s="35" t="s">
        <v>401</v>
      </c>
      <c r="Y105" s="35" t="s">
        <v>403</v>
      </c>
      <c r="Z105" s="35" t="s">
        <v>402</v>
      </c>
      <c r="AA105" s="35" t="s">
        <v>186</v>
      </c>
      <c r="AB105" s="35" t="s">
        <v>345</v>
      </c>
      <c r="AC105" s="35" t="s">
        <v>404</v>
      </c>
      <c r="AD105" s="35" t="s">
        <v>346</v>
      </c>
      <c r="AE105" s="35" t="s">
        <v>405</v>
      </c>
      <c r="AF105" s="35" t="s">
        <v>406</v>
      </c>
      <c r="AG105" s="35" t="s">
        <v>578</v>
      </c>
      <c r="AH105" s="35" t="s">
        <v>190</v>
      </c>
      <c r="AI105" s="35" t="s">
        <v>249</v>
      </c>
      <c r="AJ105" s="35" t="s">
        <v>191</v>
      </c>
      <c r="AK105" s="104"/>
      <c r="AL105" s="35"/>
      <c r="AM105" s="35"/>
      <c r="AN105" s="36"/>
      <c r="AO105" s="36"/>
      <c r="AP105" s="36"/>
      <c r="AQ105" s="36"/>
      <c r="AR105" s="36"/>
      <c r="AS105" s="36"/>
      <c r="AT105" s="36"/>
      <c r="AU105" s="36"/>
      <c r="AV105" s="36"/>
      <c r="AW105" s="36"/>
      <c r="AX105" s="36"/>
      <c r="AY105" s="36"/>
      <c r="AZ105" s="36"/>
      <c r="BA105" s="36"/>
      <c r="BB105" s="36"/>
      <c r="BC105" s="36"/>
      <c r="BD105" s="36"/>
      <c r="BE105" s="36"/>
      <c r="BF105" s="104"/>
      <c r="BG105" s="104"/>
    </row>
    <row r="106" spans="2:59" s="30" customFormat="1" ht="30" x14ac:dyDescent="0.2">
      <c r="B106" s="44" t="s">
        <v>475</v>
      </c>
      <c r="C106" s="108" t="str">
        <f>IF(ISNUMBER(C87),C87,"")</f>
        <v/>
      </c>
      <c r="D106" s="109" t="str">
        <f>D87</f>
        <v>m3ktr</v>
      </c>
      <c r="G106" s="108">
        <f>IF(ISNUMBER(G87),G87,"")</f>
        <v>1.6666666666666667</v>
      </c>
      <c r="H106" s="81" t="str">
        <f>IF(D106="t","t/t","t/m3")</f>
        <v>t/m3</v>
      </c>
      <c r="I106" s="81"/>
      <c r="J106" s="169" t="s">
        <v>395</v>
      </c>
      <c r="K106" s="92" t="str">
        <f>IFERROR(IF(ISNUMBER(L106),L106,(VLOOKUP(C107,Kalusto!$C$45:$G$84,5,FALSE)*VLOOKUP(C108,Muut!$D$40:$E$43,2,FALSE))),"--")</f>
        <v>--</v>
      </c>
      <c r="L106" s="39"/>
      <c r="M106" s="40" t="s">
        <v>184</v>
      </c>
      <c r="N106" s="40"/>
      <c r="O106" s="259"/>
      <c r="P106" s="145"/>
      <c r="Q106" s="100"/>
      <c r="R106" s="48" t="str">
        <f>IF(AND(NOT(ISNUMBER(AB106)),NOT(ISNUMBER(AG106))),"",IF(ISNUMBER(AB106),AB106,0)+IF(ISNUMBER(AG106),AG106,0))</f>
        <v/>
      </c>
      <c r="S106" s="98" t="s">
        <v>160</v>
      </c>
      <c r="T106" s="46" t="str">
        <f>IFERROR(IF(ISNUMBER(L106),"Kohdetieto",VLOOKUP(C107,Kalusto!$C$45:$L$84,7,FALSE)),"--")</f>
        <v>--</v>
      </c>
      <c r="U106" s="46" t="str">
        <f>IFERROR(IF(ISNUMBER(L106),"Kohdetieto",VLOOKUP(C107,Kalusto!$C$45:$L$84,8,FALSE)),"--")</f>
        <v>--</v>
      </c>
      <c r="V106" s="47" t="str">
        <f>IFERROR(IF(ISNUMBER(L106),"Kohdetieto",VLOOKUP(C107,Kalusto!$C$45:$L$84,9,FALSE)),"--")</f>
        <v>--</v>
      </c>
      <c r="W106" s="47" t="str">
        <f>IFERROR(IF(ISNUMBER(L106),"Kohdetieto",VLOOKUP(C107,Kalusto!$C$45:$L$84,10,FALSE)),"--")</f>
        <v>--</v>
      </c>
      <c r="X106" s="48" t="str">
        <f>IF(ISBLANK(C106),"",IF(D106="t",C106,IF(ISNUMBER(C106*G106),C106*G106,"")))</f>
        <v/>
      </c>
      <c r="Y106" s="46" t="str">
        <f>IF(ISNUMBER(C109),C109,"")</f>
        <v/>
      </c>
      <c r="Z106" s="48" t="str">
        <f>IF(ISNUMBER(X106/(U106*V106)*Y106),X106/(U106*V106)*Y106,"")</f>
        <v/>
      </c>
      <c r="AA106" s="49" t="str">
        <f>IF(ISNUMBER(L106),L106,K106)</f>
        <v>--</v>
      </c>
      <c r="AB106" s="48" t="str">
        <f>IF(ISNUMBER(Y106*X106*K106),Y106*X106*K106,"")</f>
        <v/>
      </c>
      <c r="AC106" s="48" t="str">
        <f>IF(C121="Kyllä",Y106,"")</f>
        <v/>
      </c>
      <c r="AD106" s="48" t="str">
        <f>IF(C121="Kyllä",IF(ISNUMBER(X106/(U106*V106)),X106/(U106*V106),""),"")</f>
        <v/>
      </c>
      <c r="AE106" s="48" t="str">
        <f>IF(ISNUMBER(AD106*AC106),AD106*AC106,"")</f>
        <v/>
      </c>
      <c r="AF106" s="49" t="str">
        <f>IF(ISNUMBER(L107),L107,K107)</f>
        <v>--</v>
      </c>
      <c r="AG106" s="48" t="str">
        <f>IF(ISNUMBER(AC106*AD106*K107),AC106*AD106*K107,"")</f>
        <v/>
      </c>
      <c r="AH106" s="46">
        <f>IF(T106="Jakelukuorma-auto",0,IF(T106="Maansiirtoauto",4,IF(T106="Puoliperävaunu",6,8)))</f>
        <v>8</v>
      </c>
      <c r="AI106" s="46">
        <f>IF(AND(T106="Jakelukuorma-auto",U106=6),0,IF(AND(T106="Jakelukuorma-auto",U106=15),2,0))</f>
        <v>0</v>
      </c>
      <c r="AJ106" s="46">
        <f>IF(W106="maantieajo",0,1)</f>
        <v>1</v>
      </c>
      <c r="AK106" s="104"/>
      <c r="AL106" s="35"/>
      <c r="AM106" s="35"/>
      <c r="AN106" s="36"/>
      <c r="AO106" s="36"/>
      <c r="AP106" s="36"/>
      <c r="AQ106" s="36"/>
      <c r="AR106" s="36"/>
      <c r="AS106" s="36"/>
      <c r="AT106" s="36"/>
      <c r="AU106" s="36"/>
      <c r="AV106" s="36"/>
      <c r="AW106" s="36"/>
      <c r="AX106" s="36"/>
      <c r="AY106" s="36"/>
      <c r="AZ106" s="36"/>
      <c r="BA106" s="36"/>
      <c r="BB106" s="36"/>
      <c r="BC106" s="36"/>
      <c r="BD106" s="36"/>
      <c r="BE106" s="36"/>
      <c r="BF106" s="104"/>
      <c r="BG106" s="104"/>
    </row>
    <row r="107" spans="2:59" s="30" customFormat="1" ht="30" x14ac:dyDescent="0.2">
      <c r="B107" s="166" t="s">
        <v>463</v>
      </c>
      <c r="C107" s="471" t="s">
        <v>298</v>
      </c>
      <c r="D107" s="472"/>
      <c r="E107" s="472"/>
      <c r="F107" s="472"/>
      <c r="G107" s="473"/>
      <c r="H107" s="81"/>
      <c r="I107" s="81"/>
      <c r="J107" s="32" t="s">
        <v>396</v>
      </c>
      <c r="K107" s="92" t="str">
        <f>IFERROR(IF(ISNUMBER(L107),L107,IF($C$121="Ei","",VLOOKUP(C107,Kalusto!$C$45:$U$84,19,FALSE)*VLOOKUP(C108,Muut!$D$40:$E$43,2,FALSE))),"--")</f>
        <v>--</v>
      </c>
      <c r="L107" s="39"/>
      <c r="M107" s="40" t="s">
        <v>188</v>
      </c>
      <c r="N107" s="40"/>
      <c r="O107" s="259"/>
      <c r="P107" s="143"/>
      <c r="Q107" s="101"/>
      <c r="R107" s="35"/>
      <c r="S107" s="35"/>
      <c r="T107" s="35"/>
      <c r="U107" s="35"/>
      <c r="V107" s="35"/>
      <c r="W107" s="35"/>
      <c r="X107" s="35"/>
      <c r="Y107" s="35"/>
      <c r="Z107" s="35"/>
      <c r="AA107" s="35"/>
      <c r="AB107" s="35"/>
      <c r="AC107" s="35"/>
      <c r="AD107" s="35"/>
      <c r="AE107" s="35"/>
      <c r="AF107" s="35"/>
      <c r="AG107" s="35"/>
      <c r="AH107" s="35"/>
      <c r="AI107" s="35"/>
      <c r="AJ107" s="35"/>
      <c r="AK107" s="104"/>
      <c r="AL107" s="35"/>
      <c r="AM107" s="35"/>
      <c r="AN107" s="36"/>
      <c r="AO107" s="36"/>
      <c r="AP107" s="36"/>
      <c r="AQ107" s="36"/>
      <c r="AR107" s="36"/>
      <c r="AS107" s="36"/>
      <c r="AT107" s="36"/>
      <c r="AU107" s="36"/>
      <c r="AV107" s="36"/>
      <c r="AW107" s="36"/>
      <c r="AX107" s="36"/>
      <c r="AY107" s="36"/>
      <c r="AZ107" s="36"/>
      <c r="BA107" s="36"/>
      <c r="BB107" s="36"/>
      <c r="BC107" s="36"/>
      <c r="BD107" s="36"/>
      <c r="BE107" s="36"/>
      <c r="BF107" s="104"/>
      <c r="BG107" s="104"/>
    </row>
    <row r="108" spans="2:59" s="30" customFormat="1" ht="15" x14ac:dyDescent="0.2">
      <c r="B108" s="182" t="s">
        <v>457</v>
      </c>
      <c r="C108" s="156" t="s">
        <v>309</v>
      </c>
      <c r="D108" s="33"/>
      <c r="E108" s="33"/>
      <c r="F108" s="33"/>
      <c r="G108" s="33"/>
      <c r="H108" s="57"/>
      <c r="J108" s="169"/>
      <c r="K108" s="169"/>
      <c r="L108" s="169"/>
      <c r="M108" s="40"/>
      <c r="N108" s="40"/>
      <c r="O108" s="259"/>
      <c r="Q108" s="45"/>
      <c r="R108" s="98"/>
      <c r="S108" s="98"/>
      <c r="T108" s="35"/>
      <c r="U108" s="35"/>
      <c r="V108" s="177"/>
      <c r="W108" s="177"/>
      <c r="X108" s="59"/>
      <c r="Y108" s="35"/>
      <c r="Z108" s="59"/>
      <c r="AA108" s="178"/>
      <c r="AB108" s="59"/>
      <c r="AC108" s="59"/>
      <c r="AD108" s="59"/>
      <c r="AE108" s="59"/>
      <c r="AF108" s="178"/>
      <c r="AG108" s="59"/>
      <c r="AH108" s="35"/>
      <c r="AI108" s="35"/>
      <c r="AJ108" s="35"/>
      <c r="AK108" s="104"/>
      <c r="AL108" s="35"/>
      <c r="AM108" s="35"/>
      <c r="AN108" s="36"/>
      <c r="AO108" s="36"/>
      <c r="AP108" s="36"/>
      <c r="AQ108" s="36"/>
      <c r="AR108" s="36"/>
      <c r="AS108" s="36"/>
      <c r="AT108" s="36"/>
      <c r="AU108" s="36"/>
      <c r="AV108" s="36"/>
      <c r="AW108" s="36"/>
      <c r="AX108" s="36"/>
      <c r="AY108" s="36"/>
      <c r="AZ108" s="36"/>
      <c r="BA108" s="36"/>
      <c r="BB108" s="36"/>
      <c r="BC108" s="36"/>
      <c r="BD108" s="36"/>
      <c r="BE108" s="36"/>
    </row>
    <row r="109" spans="2:59" s="30" customFormat="1" ht="15" x14ac:dyDescent="0.2">
      <c r="B109" s="44" t="s">
        <v>474</v>
      </c>
      <c r="C109" s="158"/>
      <c r="D109" s="81" t="s">
        <v>5</v>
      </c>
      <c r="G109" s="33"/>
      <c r="H109" s="81"/>
      <c r="I109" s="81"/>
      <c r="J109" s="32"/>
      <c r="K109" s="33"/>
      <c r="L109" s="33"/>
      <c r="M109" s="81"/>
      <c r="N109" s="81"/>
      <c r="O109" s="96"/>
      <c r="P109" s="146"/>
      <c r="Q109" s="101"/>
      <c r="R109" s="35"/>
      <c r="S109" s="35"/>
      <c r="T109" s="35"/>
      <c r="U109" s="35"/>
      <c r="V109" s="35"/>
      <c r="W109" s="35"/>
      <c r="X109" s="35"/>
      <c r="Y109" s="35"/>
      <c r="Z109" s="35"/>
      <c r="AA109" s="35"/>
      <c r="AB109" s="35"/>
      <c r="AC109" s="35"/>
      <c r="AD109" s="35"/>
      <c r="AE109" s="35"/>
      <c r="AF109" s="35"/>
      <c r="AG109" s="35"/>
      <c r="AH109" s="35"/>
      <c r="AI109" s="35"/>
      <c r="AJ109" s="35"/>
      <c r="AK109" s="104"/>
      <c r="AL109" s="35"/>
      <c r="AM109" s="35"/>
      <c r="AN109" s="36"/>
      <c r="AO109" s="36"/>
      <c r="AP109" s="36"/>
      <c r="AQ109" s="36"/>
      <c r="AR109" s="36"/>
      <c r="AS109" s="36"/>
      <c r="AT109" s="36"/>
      <c r="AU109" s="36"/>
      <c r="AV109" s="36"/>
      <c r="AW109" s="36"/>
      <c r="AX109" s="36"/>
      <c r="AY109" s="36"/>
      <c r="AZ109" s="36"/>
      <c r="BA109" s="36"/>
      <c r="BB109" s="36"/>
      <c r="BC109" s="36"/>
      <c r="BD109" s="36"/>
      <c r="BE109" s="36"/>
      <c r="BF109" s="104"/>
      <c r="BG109" s="104"/>
    </row>
    <row r="110" spans="2:59" s="30" customFormat="1" ht="15.75" x14ac:dyDescent="0.2">
      <c r="B110" s="91" t="str">
        <f>IF(LEFT(B88,6)="Hiekka","Hiekka",B88)</f>
        <v>Hiekka</v>
      </c>
      <c r="C110" s="33"/>
      <c r="D110" s="81"/>
      <c r="G110" s="33"/>
      <c r="H110" s="81"/>
      <c r="I110" s="81"/>
      <c r="J110" s="32"/>
      <c r="K110" s="37" t="s">
        <v>297</v>
      </c>
      <c r="L110" s="37" t="s">
        <v>185</v>
      </c>
      <c r="M110" s="83"/>
      <c r="N110" s="83"/>
      <c r="O110" s="260"/>
      <c r="P110" s="144"/>
      <c r="Q110" s="36"/>
      <c r="R110" s="35" t="s">
        <v>318</v>
      </c>
      <c r="S110" s="35"/>
      <c r="T110" s="35" t="s">
        <v>400</v>
      </c>
      <c r="U110" s="35" t="s">
        <v>399</v>
      </c>
      <c r="V110" s="35" t="s">
        <v>397</v>
      </c>
      <c r="W110" s="35" t="s">
        <v>398</v>
      </c>
      <c r="X110" s="35" t="s">
        <v>401</v>
      </c>
      <c r="Y110" s="35" t="s">
        <v>403</v>
      </c>
      <c r="Z110" s="35" t="s">
        <v>402</v>
      </c>
      <c r="AA110" s="35" t="s">
        <v>186</v>
      </c>
      <c r="AB110" s="35" t="s">
        <v>345</v>
      </c>
      <c r="AC110" s="35" t="s">
        <v>404</v>
      </c>
      <c r="AD110" s="35" t="s">
        <v>346</v>
      </c>
      <c r="AE110" s="35" t="s">
        <v>405</v>
      </c>
      <c r="AF110" s="35" t="s">
        <v>406</v>
      </c>
      <c r="AG110" s="35" t="s">
        <v>578</v>
      </c>
      <c r="AH110" s="35" t="s">
        <v>190</v>
      </c>
      <c r="AI110" s="35" t="s">
        <v>249</v>
      </c>
      <c r="AJ110" s="35" t="s">
        <v>191</v>
      </c>
      <c r="AK110" s="104"/>
      <c r="AL110" s="35"/>
      <c r="AM110" s="35"/>
      <c r="AN110" s="36"/>
      <c r="AO110" s="36"/>
      <c r="AP110" s="36"/>
      <c r="AQ110" s="36"/>
      <c r="AR110" s="36"/>
      <c r="AS110" s="36"/>
      <c r="AT110" s="36"/>
      <c r="AU110" s="36"/>
      <c r="AV110" s="36"/>
      <c r="AW110" s="36"/>
      <c r="AX110" s="36"/>
      <c r="AY110" s="36"/>
      <c r="AZ110" s="36"/>
      <c r="BA110" s="36"/>
      <c r="BB110" s="36"/>
      <c r="BC110" s="36"/>
      <c r="BD110" s="36"/>
      <c r="BE110" s="36"/>
      <c r="BF110" s="104"/>
      <c r="BG110" s="104"/>
    </row>
    <row r="111" spans="2:59" s="30" customFormat="1" ht="30" x14ac:dyDescent="0.2">
      <c r="B111" s="44" t="s">
        <v>475</v>
      </c>
      <c r="C111" s="108" t="str">
        <f>IF(ISNUMBER(C88),C88,"")</f>
        <v/>
      </c>
      <c r="D111" s="109" t="str">
        <f>D88</f>
        <v>m3ktr</v>
      </c>
      <c r="G111" s="108">
        <f>IF(ISNUMBER(G88),G88,"")</f>
        <v>1.4285714285714286</v>
      </c>
      <c r="H111" s="81" t="str">
        <f>IF(D111="t","t/t","t/m3")</f>
        <v>t/m3</v>
      </c>
      <c r="I111" s="81"/>
      <c r="J111" s="169" t="s">
        <v>395</v>
      </c>
      <c r="K111" s="92" t="str">
        <f>IFERROR(IF(ISNUMBER(L111),L111,(VLOOKUP(C112,Kalusto!$C$45:$G$84,5,FALSE)*VLOOKUP(C113,Muut!$D$40:$E$43,2,FALSE))),"--")</f>
        <v>--</v>
      </c>
      <c r="L111" s="39"/>
      <c r="M111" s="40" t="s">
        <v>184</v>
      </c>
      <c r="N111" s="40"/>
      <c r="O111" s="259"/>
      <c r="P111" s="145"/>
      <c r="Q111" s="100"/>
      <c r="R111" s="48" t="str">
        <f>IF(AND(NOT(ISNUMBER(AB111)),NOT(ISNUMBER(AG111))),"",IF(ISNUMBER(AB111),AB111,0)+IF(ISNUMBER(AG111),AG111,0))</f>
        <v/>
      </c>
      <c r="S111" s="98" t="s">
        <v>160</v>
      </c>
      <c r="T111" s="46" t="str">
        <f>IFERROR(IF(ISNUMBER(L111),"Kohdetieto",VLOOKUP(C112,Kalusto!$C$45:$L$84,7,FALSE)),"--")</f>
        <v>--</v>
      </c>
      <c r="U111" s="46" t="str">
        <f>IFERROR(IF(ISNUMBER(L111),"Kohdetieto",VLOOKUP(C112,Kalusto!$C$45:$L$84,8,FALSE)),"--")</f>
        <v>--</v>
      </c>
      <c r="V111" s="47" t="str">
        <f>IFERROR(IF(ISNUMBER(L111),"Kohdetieto",VLOOKUP(C112,Kalusto!$C$45:$L$84,9,FALSE)),"--")</f>
        <v>--</v>
      </c>
      <c r="W111" s="47" t="str">
        <f>IFERROR(IF(ISNUMBER(L111),"Kohdetieto",VLOOKUP(C112,Kalusto!$C$45:$L$84,10,FALSE)),"--")</f>
        <v>--</v>
      </c>
      <c r="X111" s="48" t="str">
        <f>IF(ISBLANK(C111),"",IF(D111="t",C111,IF(ISNUMBER(C111*G111),C111*G111,"")))</f>
        <v/>
      </c>
      <c r="Y111" s="46" t="str">
        <f>IF(ISNUMBER(C114),C114,"")</f>
        <v/>
      </c>
      <c r="Z111" s="48" t="str">
        <f>IF(ISNUMBER(X111/(U111*V111)*Y111),X111/(U111*V111)*Y111,"")</f>
        <v/>
      </c>
      <c r="AA111" s="49" t="str">
        <f>IF(ISNUMBER(L111),L111,K111)</f>
        <v>--</v>
      </c>
      <c r="AB111" s="48" t="str">
        <f>IF(ISNUMBER(Y111*X111*K111),Y111*X111*K111,"")</f>
        <v/>
      </c>
      <c r="AC111" s="48" t="str">
        <f>IF(C121="Kyllä",Y111,"")</f>
        <v/>
      </c>
      <c r="AD111" s="48" t="str">
        <f>IF(C121="Kyllä",IF(ISNUMBER(X111/(U111*V111)),X111/(U111*V111),""),"")</f>
        <v/>
      </c>
      <c r="AE111" s="48" t="str">
        <f>IF(ISNUMBER(AD111*AC111),AD111*AC111,"")</f>
        <v/>
      </c>
      <c r="AF111" s="49" t="str">
        <f>IF(ISNUMBER(L112),L112,K112)</f>
        <v>--</v>
      </c>
      <c r="AG111" s="48" t="str">
        <f>IF(ISNUMBER(AC111*AD111*K112),AC111*AD111*K112,"")</f>
        <v/>
      </c>
      <c r="AH111" s="46">
        <f>IF(T111="Jakelukuorma-auto",0,IF(T111="Maansiirtoauto",4,IF(T111="Puoliperävaunu",6,8)))</f>
        <v>8</v>
      </c>
      <c r="AI111" s="46">
        <f>IF(AND(T111="Jakelukuorma-auto",U111=6),0,IF(AND(T111="Jakelukuorma-auto",U111=15),2,0))</f>
        <v>0</v>
      </c>
      <c r="AJ111" s="46">
        <f>IF(W111="maantieajo",0,1)</f>
        <v>1</v>
      </c>
      <c r="AK111" s="104"/>
      <c r="AL111" s="35"/>
      <c r="AM111" s="35"/>
      <c r="AN111" s="36"/>
      <c r="AO111" s="36"/>
      <c r="AP111" s="36"/>
      <c r="AQ111" s="36"/>
      <c r="AR111" s="36"/>
      <c r="AS111" s="36"/>
      <c r="AT111" s="36"/>
      <c r="AU111" s="36"/>
      <c r="AV111" s="36"/>
      <c r="AW111" s="36"/>
      <c r="AX111" s="36"/>
      <c r="AY111" s="36"/>
      <c r="AZ111" s="36"/>
      <c r="BA111" s="36"/>
      <c r="BB111" s="36"/>
      <c r="BC111" s="36"/>
      <c r="BD111" s="36"/>
      <c r="BE111" s="36"/>
      <c r="BF111" s="104"/>
      <c r="BG111" s="104"/>
    </row>
    <row r="112" spans="2:59" s="30" customFormat="1" ht="30" x14ac:dyDescent="0.2">
      <c r="B112" s="166" t="s">
        <v>463</v>
      </c>
      <c r="C112" s="471" t="s">
        <v>298</v>
      </c>
      <c r="D112" s="472"/>
      <c r="E112" s="472"/>
      <c r="F112" s="472"/>
      <c r="G112" s="473"/>
      <c r="H112" s="81"/>
      <c r="I112" s="81"/>
      <c r="J112" s="32" t="s">
        <v>396</v>
      </c>
      <c r="K112" s="92" t="str">
        <f>IFERROR(IF(ISNUMBER(L112),L112,IF($C$121="Ei","",VLOOKUP(C112,Kalusto!$C$45:$U$84,19,FALSE)*VLOOKUP(C113,Muut!$D$40:$E$43,2,FALSE))),"--")</f>
        <v>--</v>
      </c>
      <c r="L112" s="39"/>
      <c r="M112" s="40" t="s">
        <v>188</v>
      </c>
      <c r="N112" s="40"/>
      <c r="O112" s="259"/>
      <c r="P112" s="143"/>
      <c r="Q112" s="101"/>
      <c r="R112" s="35"/>
      <c r="S112" s="35"/>
      <c r="T112" s="35"/>
      <c r="U112" s="35"/>
      <c r="V112" s="35"/>
      <c r="W112" s="35"/>
      <c r="X112" s="35"/>
      <c r="Y112" s="35"/>
      <c r="Z112" s="35"/>
      <c r="AA112" s="35"/>
      <c r="AB112" s="35"/>
      <c r="AC112" s="35"/>
      <c r="AD112" s="35"/>
      <c r="AE112" s="35"/>
      <c r="AF112" s="35"/>
      <c r="AG112" s="35"/>
      <c r="AH112" s="35"/>
      <c r="AI112" s="35"/>
      <c r="AJ112" s="35"/>
      <c r="AK112" s="104"/>
      <c r="AL112" s="35"/>
      <c r="AM112" s="35"/>
      <c r="AN112" s="36"/>
      <c r="AO112" s="36"/>
      <c r="AP112" s="36"/>
      <c r="AQ112" s="36"/>
      <c r="AR112" s="36"/>
      <c r="AS112" s="36"/>
      <c r="AT112" s="36"/>
      <c r="AU112" s="36"/>
      <c r="AV112" s="36"/>
      <c r="AW112" s="36"/>
      <c r="AX112" s="36"/>
      <c r="AY112" s="36"/>
      <c r="AZ112" s="36"/>
      <c r="BA112" s="36"/>
      <c r="BB112" s="36"/>
      <c r="BC112" s="36"/>
      <c r="BD112" s="36"/>
      <c r="BE112" s="36"/>
      <c r="BF112" s="104"/>
      <c r="BG112" s="104"/>
    </row>
    <row r="113" spans="2:59" s="30" customFormat="1" ht="15" x14ac:dyDescent="0.2">
      <c r="B113" s="182" t="s">
        <v>457</v>
      </c>
      <c r="C113" s="156" t="s">
        <v>309</v>
      </c>
      <c r="D113" s="33"/>
      <c r="E113" s="33"/>
      <c r="F113" s="33"/>
      <c r="G113" s="33"/>
      <c r="H113" s="57"/>
      <c r="J113" s="169"/>
      <c r="K113" s="169"/>
      <c r="L113" s="169"/>
      <c r="M113" s="40"/>
      <c r="N113" s="40"/>
      <c r="O113" s="259"/>
      <c r="Q113" s="45"/>
      <c r="R113" s="98"/>
      <c r="S113" s="98"/>
      <c r="T113" s="35"/>
      <c r="U113" s="35"/>
      <c r="V113" s="177"/>
      <c r="W113" s="177"/>
      <c r="X113" s="59"/>
      <c r="Y113" s="35"/>
      <c r="Z113" s="59"/>
      <c r="AA113" s="178"/>
      <c r="AB113" s="59"/>
      <c r="AC113" s="59"/>
      <c r="AD113" s="59"/>
      <c r="AE113" s="59"/>
      <c r="AF113" s="178"/>
      <c r="AG113" s="59"/>
      <c r="AH113" s="35"/>
      <c r="AI113" s="35"/>
      <c r="AJ113" s="35"/>
      <c r="AK113" s="104"/>
      <c r="AL113" s="35"/>
      <c r="AM113" s="35"/>
      <c r="AN113" s="36"/>
      <c r="AO113" s="36"/>
      <c r="AP113" s="36"/>
      <c r="AQ113" s="36"/>
      <c r="AR113" s="36"/>
      <c r="AS113" s="36"/>
      <c r="AT113" s="36"/>
      <c r="AU113" s="36"/>
      <c r="AV113" s="36"/>
      <c r="AW113" s="36"/>
      <c r="AX113" s="36"/>
      <c r="AY113" s="36"/>
      <c r="AZ113" s="36"/>
      <c r="BA113" s="36"/>
      <c r="BB113" s="36"/>
      <c r="BC113" s="36"/>
      <c r="BD113" s="36"/>
      <c r="BE113" s="36"/>
    </row>
    <row r="114" spans="2:59" s="30" customFormat="1" ht="15" x14ac:dyDescent="0.2">
      <c r="B114" s="44" t="s">
        <v>474</v>
      </c>
      <c r="C114" s="158"/>
      <c r="D114" s="81" t="s">
        <v>5</v>
      </c>
      <c r="G114" s="33"/>
      <c r="H114" s="81"/>
      <c r="I114" s="81"/>
      <c r="J114" s="32"/>
      <c r="K114" s="33"/>
      <c r="L114" s="33"/>
      <c r="M114" s="81"/>
      <c r="N114" s="81"/>
      <c r="O114" s="96"/>
      <c r="P114" s="146"/>
      <c r="Q114" s="101"/>
      <c r="R114" s="35"/>
      <c r="S114" s="35"/>
      <c r="T114" s="35"/>
      <c r="U114" s="35"/>
      <c r="V114" s="35"/>
      <c r="W114" s="35"/>
      <c r="X114" s="35"/>
      <c r="Y114" s="35"/>
      <c r="Z114" s="35"/>
      <c r="AA114" s="35"/>
      <c r="AB114" s="35"/>
      <c r="AC114" s="35"/>
      <c r="AD114" s="35"/>
      <c r="AE114" s="35"/>
      <c r="AF114" s="35"/>
      <c r="AG114" s="35"/>
      <c r="AH114" s="35"/>
      <c r="AI114" s="35"/>
      <c r="AJ114" s="35"/>
      <c r="AK114" s="104"/>
      <c r="AL114" s="35"/>
      <c r="AM114" s="35"/>
      <c r="AN114" s="36"/>
      <c r="AO114" s="36"/>
      <c r="AP114" s="36"/>
      <c r="AQ114" s="36"/>
      <c r="AR114" s="36"/>
      <c r="AS114" s="36"/>
      <c r="AT114" s="36"/>
      <c r="AU114" s="36"/>
      <c r="AV114" s="36"/>
      <c r="AW114" s="36"/>
      <c r="AX114" s="36"/>
      <c r="AY114" s="36"/>
      <c r="AZ114" s="36"/>
      <c r="BA114" s="36"/>
      <c r="BB114" s="36"/>
      <c r="BC114" s="36"/>
      <c r="BD114" s="36"/>
      <c r="BE114" s="36"/>
      <c r="BF114" s="104"/>
      <c r="BG114" s="104"/>
    </row>
    <row r="115" spans="2:59" s="30" customFormat="1" ht="15.75" x14ac:dyDescent="0.2">
      <c r="B115" s="91" t="str">
        <f>B89</f>
        <v>Maa-aineksen 5 kuvaus (valitse yksikkö ja mahdollinen muuntokerroin tonneiksi)</v>
      </c>
      <c r="C115" s="33"/>
      <c r="D115" s="81"/>
      <c r="G115" s="33"/>
      <c r="H115" s="81"/>
      <c r="I115" s="81"/>
      <c r="J115" s="32"/>
      <c r="K115" s="37" t="s">
        <v>297</v>
      </c>
      <c r="L115" s="37" t="s">
        <v>185</v>
      </c>
      <c r="M115" s="83"/>
      <c r="N115" s="83"/>
      <c r="O115" s="260"/>
      <c r="P115" s="144"/>
      <c r="Q115" s="36"/>
      <c r="R115" s="35" t="s">
        <v>318</v>
      </c>
      <c r="S115" s="35"/>
      <c r="T115" s="35" t="s">
        <v>400</v>
      </c>
      <c r="U115" s="35" t="s">
        <v>399</v>
      </c>
      <c r="V115" s="35" t="s">
        <v>397</v>
      </c>
      <c r="W115" s="35" t="s">
        <v>398</v>
      </c>
      <c r="X115" s="35" t="s">
        <v>401</v>
      </c>
      <c r="Y115" s="35" t="s">
        <v>403</v>
      </c>
      <c r="Z115" s="35" t="s">
        <v>402</v>
      </c>
      <c r="AA115" s="35" t="s">
        <v>186</v>
      </c>
      <c r="AB115" s="35" t="s">
        <v>345</v>
      </c>
      <c r="AC115" s="35" t="s">
        <v>404</v>
      </c>
      <c r="AD115" s="35" t="s">
        <v>346</v>
      </c>
      <c r="AE115" s="35" t="s">
        <v>405</v>
      </c>
      <c r="AF115" s="35" t="s">
        <v>406</v>
      </c>
      <c r="AG115" s="35" t="s">
        <v>578</v>
      </c>
      <c r="AH115" s="35" t="s">
        <v>190</v>
      </c>
      <c r="AI115" s="35" t="s">
        <v>249</v>
      </c>
      <c r="AJ115" s="35" t="s">
        <v>191</v>
      </c>
      <c r="AK115" s="104"/>
      <c r="AL115" s="35"/>
      <c r="AM115" s="35"/>
      <c r="AN115" s="36"/>
      <c r="AO115" s="36"/>
      <c r="AP115" s="36"/>
      <c r="AQ115" s="36"/>
      <c r="AR115" s="36"/>
      <c r="AS115" s="36"/>
      <c r="AT115" s="36"/>
      <c r="AU115" s="36"/>
      <c r="AV115" s="36"/>
      <c r="AW115" s="36"/>
      <c r="AX115" s="36"/>
      <c r="AY115" s="36"/>
      <c r="AZ115" s="36"/>
      <c r="BA115" s="36"/>
      <c r="BB115" s="36"/>
      <c r="BC115" s="36"/>
      <c r="BD115" s="36"/>
      <c r="BE115" s="36"/>
      <c r="BF115" s="104"/>
      <c r="BG115" s="104"/>
    </row>
    <row r="116" spans="2:59" s="30" customFormat="1" ht="30" x14ac:dyDescent="0.2">
      <c r="B116" s="44" t="s">
        <v>477</v>
      </c>
      <c r="C116" s="108" t="str">
        <f>IF(ISNUMBER(C89),C89,"")</f>
        <v/>
      </c>
      <c r="D116" s="109" t="str">
        <f>D89</f>
        <v>m3ktr</v>
      </c>
      <c r="G116" s="108" t="str">
        <f>IF(ISNUMBER(G89),G89,"")</f>
        <v/>
      </c>
      <c r="H116" s="81" t="str">
        <f>IF(D116="t","t/t","t/m3")</f>
        <v>t/m3</v>
      </c>
      <c r="I116" s="81"/>
      <c r="J116" s="169" t="s">
        <v>395</v>
      </c>
      <c r="K116" s="92" t="str">
        <f>IFERROR(IF(ISNUMBER(L116),L116,(VLOOKUP(C117,Kalusto!$C$45:$G$84,5,FALSE)*VLOOKUP(C118,Muut!$D$40:$E$43,2,FALSE))),"--")</f>
        <v>--</v>
      </c>
      <c r="L116" s="39"/>
      <c r="M116" s="40" t="s">
        <v>184</v>
      </c>
      <c r="N116" s="40"/>
      <c r="O116" s="259"/>
      <c r="P116" s="145"/>
      <c r="Q116" s="100"/>
      <c r="R116" s="48" t="str">
        <f>IF(AND(NOT(ISNUMBER(AB116)),NOT(ISNUMBER(AG116))),"",IF(ISNUMBER(AB116),AB116,0)+IF(ISNUMBER(AG116),AG116,0))</f>
        <v/>
      </c>
      <c r="S116" s="98" t="s">
        <v>160</v>
      </c>
      <c r="T116" s="46" t="str">
        <f>IFERROR(IF(ISNUMBER(L116),"Kohdetieto",VLOOKUP(C117,Kalusto!$C$45:$L$84,7,FALSE)),"--")</f>
        <v>--</v>
      </c>
      <c r="U116" s="46" t="str">
        <f>IFERROR(IF(ISNUMBER(L116),"Kohdetieto",VLOOKUP(C117,Kalusto!$C$45:$L$84,8,FALSE)),"--")</f>
        <v>--</v>
      </c>
      <c r="V116" s="47" t="str">
        <f>IFERROR(IF(ISNUMBER(L116),"Kohdetieto",VLOOKUP(C117,Kalusto!$C$45:$L$84,9,FALSE)),"--")</f>
        <v>--</v>
      </c>
      <c r="W116" s="47" t="str">
        <f>IFERROR(IF(ISNUMBER(L116),"Kohdetieto",VLOOKUP(C117,Kalusto!$C$45:$L$84,10,FALSE)),"--")</f>
        <v>--</v>
      </c>
      <c r="X116" s="48" t="str">
        <f>IF(ISBLANK(C116),"",IF(D116="t",C116,IF(ISNUMBER(C116*G116),C116*G116,"")))</f>
        <v/>
      </c>
      <c r="Y116" s="46" t="str">
        <f>IF(ISNUMBER(C119),C119,"")</f>
        <v/>
      </c>
      <c r="Z116" s="48" t="str">
        <f>IF(ISNUMBER(X116/(U116*V116)*Y116),X116/(U116*V116)*Y116,"")</f>
        <v/>
      </c>
      <c r="AA116" s="49" t="str">
        <f>IF(ISNUMBER(L116),L116,K116)</f>
        <v>--</v>
      </c>
      <c r="AB116" s="48" t="str">
        <f>IF(ISNUMBER(Y116*X116*K116),Y116*X116*K116,"")</f>
        <v/>
      </c>
      <c r="AC116" s="48" t="str">
        <f>IF(C121="Kyllä",Y116,"")</f>
        <v/>
      </c>
      <c r="AD116" s="48" t="str">
        <f>IF(C121="Kyllä",IF(ISNUMBER(X116/(U116*V116)),X116/(U116*V116),""),"")</f>
        <v/>
      </c>
      <c r="AE116" s="48" t="str">
        <f>IF(ISNUMBER(AD116*AC116),AD116*AC116,"")</f>
        <v/>
      </c>
      <c r="AF116" s="49" t="str">
        <f>IF(ISNUMBER(L117),L117,K117)</f>
        <v>--</v>
      </c>
      <c r="AG116" s="48" t="str">
        <f>IF(ISNUMBER(AC116*AD116*K117),AC116*AD116*K117,"")</f>
        <v/>
      </c>
      <c r="AH116" s="46">
        <f>IF(T116="Jakelukuorma-auto",0,IF(T116="Maansiirtoauto",4,IF(T116="Puoliperävaunu",6,8)))</f>
        <v>8</v>
      </c>
      <c r="AI116" s="46">
        <f>IF(AND(T116="Jakelukuorma-auto",U116=6),0,IF(AND(T116="Jakelukuorma-auto",U116=15),2,0))</f>
        <v>0</v>
      </c>
      <c r="AJ116" s="46">
        <f>IF(W116="maantieajo",0,1)</f>
        <v>1</v>
      </c>
      <c r="AK116" s="104"/>
      <c r="AL116" s="35"/>
      <c r="AM116" s="35"/>
      <c r="AN116" s="36"/>
      <c r="AO116" s="36"/>
      <c r="AP116" s="36"/>
      <c r="AQ116" s="36"/>
      <c r="AR116" s="36"/>
      <c r="AS116" s="36"/>
      <c r="AT116" s="36"/>
      <c r="AU116" s="36"/>
      <c r="AV116" s="36"/>
      <c r="AW116" s="36"/>
      <c r="AX116" s="36"/>
      <c r="AY116" s="36"/>
      <c r="AZ116" s="36"/>
      <c r="BA116" s="36"/>
      <c r="BB116" s="36"/>
      <c r="BC116" s="36"/>
      <c r="BD116" s="36"/>
      <c r="BE116" s="36"/>
      <c r="BF116" s="104"/>
      <c r="BG116" s="104"/>
    </row>
    <row r="117" spans="2:59" s="30" customFormat="1" ht="30" x14ac:dyDescent="0.2">
      <c r="B117" s="166" t="s">
        <v>463</v>
      </c>
      <c r="C117" s="471" t="s">
        <v>298</v>
      </c>
      <c r="D117" s="472"/>
      <c r="E117" s="472"/>
      <c r="F117" s="472"/>
      <c r="G117" s="473"/>
      <c r="H117" s="81"/>
      <c r="I117" s="81"/>
      <c r="J117" s="32" t="s">
        <v>396</v>
      </c>
      <c r="K117" s="92" t="str">
        <f>IFERROR(IF(ISNUMBER(L117),L117,IF($C$121="Ei","",VLOOKUP(C117,Kalusto!$C$45:$U$84,19,FALSE)*VLOOKUP(C118,Muut!$D$40:$E$43,2,FALSE))),"--")</f>
        <v>--</v>
      </c>
      <c r="L117" s="39"/>
      <c r="M117" s="40" t="s">
        <v>188</v>
      </c>
      <c r="N117" s="40"/>
      <c r="O117" s="259"/>
      <c r="P117" s="143"/>
      <c r="Q117" s="101"/>
      <c r="R117" s="95"/>
      <c r="S117" s="35"/>
      <c r="T117" s="35"/>
      <c r="U117" s="35"/>
      <c r="V117" s="35"/>
      <c r="W117" s="35"/>
      <c r="X117" s="35"/>
      <c r="Y117" s="35"/>
      <c r="Z117" s="35"/>
      <c r="AA117" s="35"/>
      <c r="AB117" s="35"/>
      <c r="AC117" s="35"/>
      <c r="AD117" s="35"/>
      <c r="AE117" s="35"/>
      <c r="AF117" s="35"/>
      <c r="AG117" s="35"/>
      <c r="AH117" s="35"/>
      <c r="AI117" s="35"/>
      <c r="AJ117" s="35"/>
      <c r="AK117" s="35"/>
      <c r="AL117" s="35"/>
      <c r="AM117" s="35"/>
      <c r="AN117" s="36"/>
      <c r="AO117" s="36"/>
      <c r="AP117" s="36"/>
      <c r="AQ117" s="36"/>
      <c r="AR117" s="36"/>
      <c r="AS117" s="36"/>
      <c r="AT117" s="36"/>
      <c r="AU117" s="36"/>
      <c r="AV117" s="36"/>
      <c r="AW117" s="36"/>
      <c r="AX117" s="36"/>
      <c r="AY117" s="36"/>
      <c r="AZ117" s="36"/>
      <c r="BA117" s="36"/>
      <c r="BB117" s="36"/>
      <c r="BC117" s="36"/>
      <c r="BD117" s="36"/>
      <c r="BE117" s="36"/>
      <c r="BF117" s="104"/>
      <c r="BG117" s="104"/>
    </row>
    <row r="118" spans="2:59" s="30" customFormat="1" ht="15" x14ac:dyDescent="0.2">
      <c r="B118" s="182" t="s">
        <v>457</v>
      </c>
      <c r="C118" s="156" t="s">
        <v>309</v>
      </c>
      <c r="D118" s="33"/>
      <c r="E118" s="33"/>
      <c r="F118" s="33"/>
      <c r="G118" s="33"/>
      <c r="H118" s="57"/>
      <c r="J118" s="169"/>
      <c r="K118" s="169"/>
      <c r="L118" s="169"/>
      <c r="M118" s="40"/>
      <c r="N118" s="40"/>
      <c r="O118" s="259"/>
      <c r="Q118" s="45"/>
      <c r="R118" s="98"/>
      <c r="S118" s="98"/>
      <c r="T118" s="35"/>
      <c r="U118" s="35"/>
      <c r="V118" s="177"/>
      <c r="W118" s="177"/>
      <c r="X118" s="59"/>
      <c r="Y118" s="35"/>
      <c r="Z118" s="59"/>
      <c r="AA118" s="178"/>
      <c r="AB118" s="59"/>
      <c r="AC118" s="59"/>
      <c r="AD118" s="59"/>
      <c r="AE118" s="59"/>
      <c r="AF118" s="178"/>
      <c r="AG118" s="59"/>
      <c r="AH118" s="35"/>
      <c r="AI118" s="35"/>
      <c r="AJ118" s="35"/>
      <c r="AK118" s="104"/>
      <c r="AL118" s="35"/>
      <c r="AM118" s="35"/>
      <c r="AN118" s="36"/>
      <c r="AO118" s="36"/>
      <c r="AP118" s="36"/>
      <c r="AQ118" s="36"/>
      <c r="AR118" s="36"/>
      <c r="AS118" s="36"/>
      <c r="AT118" s="36"/>
      <c r="AU118" s="36"/>
      <c r="AV118" s="36"/>
      <c r="AW118" s="36"/>
      <c r="AX118" s="36"/>
      <c r="AY118" s="36"/>
      <c r="AZ118" s="36"/>
      <c r="BA118" s="36"/>
      <c r="BB118" s="36"/>
      <c r="BC118" s="36"/>
      <c r="BD118" s="36"/>
      <c r="BE118" s="36"/>
    </row>
    <row r="119" spans="2:59" s="30" customFormat="1" ht="15" x14ac:dyDescent="0.2">
      <c r="B119" s="44" t="s">
        <v>474</v>
      </c>
      <c r="C119" s="158"/>
      <c r="D119" s="81" t="s">
        <v>5</v>
      </c>
      <c r="G119" s="33"/>
      <c r="H119" s="81"/>
      <c r="I119" s="81"/>
      <c r="J119" s="32"/>
      <c r="K119" s="33"/>
      <c r="L119" s="33"/>
      <c r="M119" s="81"/>
      <c r="N119" s="81"/>
      <c r="O119" s="96"/>
      <c r="P119" s="146"/>
      <c r="Q119" s="101"/>
      <c r="R119" s="95"/>
      <c r="S119" s="35"/>
      <c r="T119" s="35"/>
      <c r="U119" s="35"/>
      <c r="V119" s="35"/>
      <c r="W119" s="35"/>
      <c r="X119" s="35"/>
      <c r="Y119" s="35"/>
      <c r="Z119" s="35"/>
      <c r="AA119" s="35"/>
      <c r="AB119" s="35"/>
      <c r="AC119" s="35"/>
      <c r="AD119" s="35"/>
      <c r="AE119" s="35"/>
      <c r="AF119" s="35"/>
      <c r="AG119" s="35"/>
      <c r="AH119" s="35"/>
      <c r="AI119" s="35"/>
      <c r="AJ119" s="35"/>
      <c r="AK119" s="35"/>
      <c r="AL119" s="35"/>
      <c r="AM119" s="35"/>
      <c r="AN119" s="36"/>
      <c r="AO119" s="36"/>
      <c r="AP119" s="36"/>
      <c r="AQ119" s="36"/>
      <c r="AR119" s="36"/>
      <c r="AS119" s="36"/>
      <c r="AT119" s="36"/>
      <c r="AU119" s="36"/>
      <c r="AV119" s="36"/>
      <c r="AW119" s="36"/>
      <c r="AX119" s="36"/>
      <c r="AY119" s="36"/>
      <c r="AZ119" s="36"/>
      <c r="BA119" s="36"/>
      <c r="BB119" s="36"/>
      <c r="BC119" s="36"/>
      <c r="BD119" s="36"/>
      <c r="BE119" s="36"/>
      <c r="BF119" s="104"/>
      <c r="BG119" s="104"/>
    </row>
    <row r="120" spans="2:59" s="30" customFormat="1" ht="15" x14ac:dyDescent="0.2">
      <c r="C120" s="33"/>
      <c r="D120" s="81"/>
      <c r="G120" s="33"/>
      <c r="H120" s="81"/>
      <c r="I120" s="81"/>
      <c r="J120" s="32"/>
      <c r="K120" s="33"/>
      <c r="L120" s="33"/>
      <c r="M120" s="81"/>
      <c r="N120" s="81"/>
      <c r="O120" s="96"/>
      <c r="P120" s="67"/>
      <c r="Q120" s="36"/>
      <c r="R120" s="95"/>
      <c r="S120" s="35"/>
      <c r="T120" s="35"/>
      <c r="U120" s="35"/>
      <c r="V120" s="35"/>
      <c r="W120" s="35"/>
      <c r="X120" s="35"/>
      <c r="Y120" s="35"/>
      <c r="Z120" s="35"/>
      <c r="AA120" s="35"/>
      <c r="AB120" s="35"/>
      <c r="AC120" s="35"/>
      <c r="AD120" s="35"/>
      <c r="AE120" s="35"/>
      <c r="AF120" s="35"/>
      <c r="AG120" s="35"/>
      <c r="AH120" s="35"/>
      <c r="AI120" s="35"/>
      <c r="AJ120" s="35"/>
      <c r="AK120" s="35"/>
      <c r="AL120" s="35"/>
      <c r="AM120" s="35"/>
      <c r="AN120" s="36"/>
      <c r="AO120" s="36"/>
      <c r="AP120" s="36"/>
      <c r="AQ120" s="36"/>
      <c r="AR120" s="36"/>
      <c r="AS120" s="36"/>
      <c r="AT120" s="36"/>
      <c r="AU120" s="36"/>
      <c r="AV120" s="36"/>
      <c r="AW120" s="36"/>
      <c r="AX120" s="36"/>
      <c r="AY120" s="36"/>
      <c r="AZ120" s="36"/>
      <c r="BA120" s="36"/>
      <c r="BB120" s="36"/>
      <c r="BC120" s="36"/>
      <c r="BD120" s="36"/>
      <c r="BE120" s="36"/>
      <c r="BF120" s="104"/>
      <c r="BG120" s="104"/>
    </row>
    <row r="121" spans="2:59" s="30" customFormat="1" ht="45" x14ac:dyDescent="0.2">
      <c r="B121" s="76" t="s">
        <v>606</v>
      </c>
      <c r="C121" s="471" t="s">
        <v>6</v>
      </c>
      <c r="D121" s="473"/>
      <c r="G121" s="33"/>
      <c r="H121" s="81"/>
      <c r="J121" s="32"/>
      <c r="K121" s="33"/>
      <c r="L121" s="33"/>
      <c r="M121" s="81"/>
      <c r="N121" s="81"/>
      <c r="O121" s="96"/>
      <c r="P121" s="67"/>
      <c r="Q121" s="36"/>
      <c r="R121" s="95"/>
      <c r="S121" s="35"/>
      <c r="T121" s="35"/>
      <c r="U121" s="35"/>
      <c r="V121" s="35"/>
      <c r="W121" s="35"/>
      <c r="X121" s="35"/>
      <c r="Y121" s="35"/>
      <c r="Z121" s="35"/>
      <c r="AA121" s="35"/>
      <c r="AB121" s="35"/>
      <c r="AC121" s="35"/>
      <c r="AD121" s="35"/>
      <c r="AE121" s="35"/>
      <c r="AF121" s="35"/>
      <c r="AG121" s="35"/>
      <c r="AH121" s="35"/>
      <c r="AI121" s="35"/>
      <c r="AJ121" s="35"/>
      <c r="AK121" s="35"/>
      <c r="AL121" s="35"/>
      <c r="AM121" s="35"/>
      <c r="AN121" s="36"/>
      <c r="AO121" s="36"/>
      <c r="AP121" s="36"/>
      <c r="AQ121" s="36"/>
      <c r="AR121" s="36"/>
      <c r="AS121" s="36"/>
      <c r="AT121" s="36"/>
      <c r="AU121" s="36"/>
      <c r="AV121" s="36"/>
      <c r="AW121" s="36"/>
      <c r="AX121" s="36"/>
      <c r="AY121" s="36"/>
      <c r="AZ121" s="36"/>
      <c r="BA121" s="36"/>
      <c r="BB121" s="36"/>
      <c r="BC121" s="36"/>
      <c r="BD121" s="36"/>
      <c r="BE121" s="36"/>
      <c r="BF121" s="104"/>
      <c r="BG121" s="104"/>
    </row>
    <row r="122" spans="2:59" s="30" customFormat="1" ht="15" x14ac:dyDescent="0.2">
      <c r="C122" s="33"/>
      <c r="D122" s="81"/>
      <c r="G122" s="33"/>
      <c r="H122" s="81"/>
      <c r="J122" s="32"/>
      <c r="K122" s="33"/>
      <c r="L122" s="33"/>
      <c r="M122" s="81"/>
      <c r="N122" s="81"/>
      <c r="O122" s="81"/>
      <c r="Q122" s="34"/>
      <c r="R122" s="95"/>
      <c r="S122" s="35"/>
      <c r="T122" s="35"/>
      <c r="U122" s="35"/>
      <c r="V122" s="35"/>
      <c r="W122" s="35"/>
      <c r="X122" s="35"/>
      <c r="Y122" s="35"/>
      <c r="Z122" s="35"/>
      <c r="AA122" s="35"/>
      <c r="AB122" s="35"/>
      <c r="AC122" s="35"/>
      <c r="AD122" s="35"/>
      <c r="AE122" s="35"/>
      <c r="AF122" s="35"/>
      <c r="AG122" s="35"/>
      <c r="AH122" s="35"/>
      <c r="AI122" s="35"/>
      <c r="AJ122" s="35"/>
      <c r="AK122" s="35"/>
      <c r="AL122" s="35"/>
      <c r="AM122" s="35"/>
      <c r="AN122" s="36"/>
      <c r="AO122" s="36"/>
      <c r="AP122" s="36"/>
      <c r="AQ122" s="36"/>
      <c r="AR122" s="36"/>
      <c r="AS122" s="36"/>
      <c r="AT122" s="36"/>
      <c r="AU122" s="36"/>
      <c r="AV122" s="36"/>
      <c r="AW122" s="36"/>
      <c r="AX122" s="36"/>
      <c r="AY122" s="36"/>
      <c r="AZ122" s="36"/>
      <c r="BA122" s="36"/>
      <c r="BB122" s="36"/>
      <c r="BC122" s="36"/>
      <c r="BD122" s="36"/>
      <c r="BE122" s="36"/>
    </row>
    <row r="123" spans="2:59" s="289" customFormat="1" ht="18" x14ac:dyDescent="0.2">
      <c r="B123" s="286" t="s">
        <v>589</v>
      </c>
      <c r="C123" s="287"/>
      <c r="D123" s="288"/>
      <c r="G123" s="287"/>
      <c r="H123" s="288"/>
      <c r="K123" s="287"/>
      <c r="L123" s="287"/>
      <c r="M123" s="288"/>
      <c r="N123" s="288"/>
      <c r="O123" s="291"/>
      <c r="P123" s="311"/>
      <c r="Q123" s="295"/>
      <c r="S123" s="294"/>
      <c r="T123" s="294"/>
      <c r="U123" s="294"/>
      <c r="V123" s="294"/>
      <c r="W123" s="294"/>
      <c r="X123" s="294"/>
      <c r="Y123" s="294"/>
      <c r="Z123" s="294"/>
      <c r="AA123" s="294"/>
      <c r="AB123" s="294"/>
      <c r="AC123" s="294"/>
      <c r="AD123" s="294"/>
      <c r="AE123" s="294"/>
      <c r="AF123" s="294"/>
      <c r="AG123" s="294"/>
      <c r="AH123" s="294"/>
      <c r="AI123" s="294"/>
      <c r="AJ123" s="294"/>
      <c r="AK123" s="294"/>
      <c r="AL123" s="294"/>
      <c r="AM123" s="294"/>
      <c r="AN123" s="295"/>
      <c r="AO123" s="295"/>
      <c r="AP123" s="295"/>
      <c r="AQ123" s="295"/>
      <c r="AR123" s="295"/>
      <c r="AS123" s="295"/>
      <c r="AT123" s="295"/>
      <c r="AU123" s="295"/>
      <c r="AV123" s="295"/>
      <c r="AW123" s="295"/>
      <c r="AX123" s="295"/>
      <c r="AY123" s="295"/>
      <c r="AZ123" s="295"/>
      <c r="BA123" s="295"/>
      <c r="BB123" s="295"/>
      <c r="BC123" s="295"/>
      <c r="BD123" s="295"/>
      <c r="BE123" s="295"/>
    </row>
    <row r="124" spans="2:59" s="30" customFormat="1" ht="15" x14ac:dyDescent="0.2">
      <c r="C124" s="33"/>
      <c r="D124" s="81"/>
      <c r="G124" s="33"/>
      <c r="H124" s="81"/>
      <c r="J124" s="32"/>
      <c r="K124" s="33"/>
      <c r="L124" s="33"/>
      <c r="M124" s="81"/>
      <c r="N124" s="81"/>
      <c r="O124" s="249" t="s">
        <v>584</v>
      </c>
      <c r="Q124" s="34"/>
      <c r="R124" s="95"/>
      <c r="S124" s="35"/>
      <c r="T124" s="35"/>
      <c r="U124" s="35"/>
      <c r="V124" s="35"/>
      <c r="W124" s="35"/>
      <c r="X124" s="35"/>
      <c r="Y124" s="35"/>
      <c r="Z124" s="35"/>
      <c r="AA124" s="35"/>
      <c r="AB124" s="35"/>
      <c r="AC124" s="35"/>
      <c r="AD124" s="35"/>
      <c r="AE124" s="35"/>
      <c r="AF124" s="35"/>
      <c r="AG124" s="35"/>
      <c r="AH124" s="35"/>
      <c r="AI124" s="35"/>
      <c r="AJ124" s="35"/>
      <c r="AK124" s="35"/>
      <c r="AL124" s="35"/>
      <c r="AM124" s="35"/>
      <c r="AN124" s="36"/>
      <c r="AO124" s="36"/>
      <c r="AP124" s="36"/>
      <c r="AQ124" s="36"/>
      <c r="AR124" s="36"/>
      <c r="AS124" s="36"/>
      <c r="AT124" s="36"/>
      <c r="AU124" s="36"/>
      <c r="AV124" s="36"/>
      <c r="AW124" s="36"/>
      <c r="AX124" s="36"/>
      <c r="AY124" s="36"/>
      <c r="AZ124" s="36"/>
      <c r="BA124" s="36"/>
      <c r="BB124" s="36"/>
      <c r="BC124" s="36"/>
      <c r="BD124" s="36"/>
      <c r="BE124" s="36"/>
    </row>
    <row r="125" spans="2:59" s="30" customFormat="1" ht="15" x14ac:dyDescent="0.2">
      <c r="B125" s="160" t="s">
        <v>303</v>
      </c>
      <c r="C125" s="33"/>
      <c r="D125" s="81"/>
      <c r="G125" s="33"/>
      <c r="H125" s="81"/>
      <c r="K125" s="37"/>
      <c r="L125" s="37"/>
      <c r="M125" s="81"/>
      <c r="N125" s="81"/>
      <c r="O125" s="250"/>
      <c r="Q125" s="34"/>
      <c r="R125" s="95"/>
      <c r="S125" s="35"/>
      <c r="T125" s="35"/>
      <c r="U125" s="35"/>
      <c r="V125" s="35"/>
      <c r="W125" s="35"/>
      <c r="X125" s="35"/>
      <c r="Y125" s="35"/>
      <c r="Z125" s="35"/>
      <c r="AA125" s="35"/>
      <c r="AB125" s="35"/>
      <c r="AC125" s="35"/>
      <c r="AD125" s="35"/>
      <c r="AE125" s="35"/>
      <c r="AF125" s="35"/>
      <c r="AG125" s="35"/>
      <c r="AH125" s="35"/>
      <c r="AI125" s="35"/>
      <c r="AJ125" s="35"/>
      <c r="AK125" s="35"/>
      <c r="AL125" s="35"/>
      <c r="AM125" s="35"/>
      <c r="AN125" s="36"/>
      <c r="AO125" s="36"/>
      <c r="AP125" s="36"/>
      <c r="AQ125" s="36"/>
      <c r="AR125" s="36"/>
      <c r="AS125" s="36"/>
      <c r="AT125" s="36"/>
      <c r="AU125" s="36"/>
      <c r="AV125" s="36"/>
      <c r="AW125" s="36"/>
      <c r="AX125" s="36"/>
      <c r="AY125" s="36"/>
      <c r="AZ125" s="36"/>
      <c r="BA125" s="36"/>
      <c r="BB125" s="36"/>
      <c r="BC125" s="36"/>
      <c r="BD125" s="36"/>
      <c r="BE125" s="36"/>
    </row>
    <row r="126" spans="2:59" s="30" customFormat="1" ht="45" x14ac:dyDescent="0.2">
      <c r="B126" s="76" t="s">
        <v>694</v>
      </c>
      <c r="C126" s="474" t="s">
        <v>110</v>
      </c>
      <c r="D126" s="474"/>
      <c r="E126" s="33"/>
      <c r="G126" s="37" t="str">
        <f>IF(C126="Muu tuote tai materiaali","Muun tuotteen tai materiaalin määrän yksikkö","")</f>
        <v/>
      </c>
      <c r="H126" s="81"/>
      <c r="K126" s="37" t="s">
        <v>297</v>
      </c>
      <c r="L126" s="37" t="s">
        <v>185</v>
      </c>
      <c r="M126" s="81" t="s">
        <v>287</v>
      </c>
      <c r="N126" s="81"/>
      <c r="O126" s="96"/>
      <c r="Q126" s="34"/>
      <c r="R126" s="35" t="s">
        <v>318</v>
      </c>
      <c r="S126" s="35"/>
      <c r="T126" s="104"/>
      <c r="U126" s="35"/>
      <c r="V126" s="35"/>
      <c r="W126" s="35"/>
      <c r="X126" s="35"/>
      <c r="Y126" s="35"/>
      <c r="Z126" s="35"/>
      <c r="AA126" s="35"/>
      <c r="AB126" s="35"/>
      <c r="AC126" s="35"/>
      <c r="AD126" s="35"/>
      <c r="AE126" s="35"/>
      <c r="AF126" s="35"/>
      <c r="AG126" s="35"/>
      <c r="AH126" s="35"/>
      <c r="AI126" s="35"/>
      <c r="AJ126" s="35"/>
      <c r="AK126" s="35"/>
      <c r="AL126" s="35"/>
      <c r="AM126" s="35"/>
      <c r="AN126" s="36"/>
      <c r="AO126" s="36"/>
      <c r="AP126" s="36"/>
      <c r="AQ126" s="36"/>
      <c r="AR126" s="36"/>
      <c r="AS126" s="36"/>
      <c r="AT126" s="36"/>
      <c r="AU126" s="36"/>
      <c r="AV126" s="36"/>
      <c r="AW126" s="36"/>
      <c r="AX126" s="36"/>
      <c r="AY126" s="36"/>
      <c r="AZ126" s="36"/>
      <c r="BA126" s="36"/>
      <c r="BB126" s="36"/>
      <c r="BC126" s="36"/>
      <c r="BD126" s="36"/>
      <c r="BE126" s="36"/>
    </row>
    <row r="127" spans="2:59" s="30" customFormat="1" ht="15" x14ac:dyDescent="0.2">
      <c r="B127" s="52" t="s">
        <v>331</v>
      </c>
      <c r="C127" s="158"/>
      <c r="D127" s="81" t="str">
        <f>IFERROR(VLOOKUP(C126,Materiaalit!$C$68:$D$85,2,FALSE),"Yksikkö")</f>
        <v>Yksikkö</v>
      </c>
      <c r="E127" s="33"/>
      <c r="F127" s="33"/>
      <c r="G127" s="41"/>
      <c r="H127" s="81"/>
      <c r="J127" s="32" t="s">
        <v>332</v>
      </c>
      <c r="K127" s="92" t="str">
        <f>IFERROR(IF(ISNUMBER(L127),L127,VLOOKUP(C126,Materiaalit!$C$68:$G$85,5,FALSE)),"--")</f>
        <v>--</v>
      </c>
      <c r="L127" s="39"/>
      <c r="M127" s="396" t="str">
        <f>IF(D127="Yksikkö","--",IF(AND(D127="Oma yksikkö",ISBLANK(G127)),"Puuttuu",IF(AND(D127="Oma yksikkö",NOT(ISBLANK(G127))),"kgCO2e/" &amp; G127,"kgCO2e/" &amp; D127)))</f>
        <v>--</v>
      </c>
      <c r="N127" s="41"/>
      <c r="O127" s="261"/>
      <c r="Q127" s="34"/>
      <c r="R127" s="48" t="str">
        <f>IF(NOT(AND(ISNUMBER(K127),ISNUMBER(C127))),"",C127*K127)</f>
        <v/>
      </c>
      <c r="S127" s="98" t="s">
        <v>160</v>
      </c>
      <c r="T127" s="104"/>
      <c r="U127" s="35"/>
      <c r="V127" s="35"/>
      <c r="W127" s="35"/>
      <c r="X127" s="35"/>
      <c r="Y127" s="35"/>
      <c r="Z127" s="35"/>
      <c r="AA127" s="35"/>
      <c r="AB127" s="35"/>
      <c r="AC127" s="35"/>
      <c r="AD127" s="35"/>
      <c r="AE127" s="35"/>
      <c r="AF127" s="35"/>
      <c r="AG127" s="35"/>
      <c r="AH127" s="35"/>
      <c r="AI127" s="35"/>
      <c r="AJ127" s="35"/>
      <c r="AK127" s="35"/>
      <c r="AL127" s="35"/>
      <c r="AM127" s="35"/>
      <c r="AN127" s="36"/>
      <c r="AO127" s="36"/>
      <c r="AP127" s="36"/>
      <c r="AQ127" s="36"/>
      <c r="AR127" s="36"/>
      <c r="AS127" s="36"/>
      <c r="AT127" s="36"/>
      <c r="AU127" s="36"/>
      <c r="AV127" s="36"/>
      <c r="AW127" s="36"/>
      <c r="AX127" s="36"/>
      <c r="AY127" s="36"/>
      <c r="AZ127" s="36"/>
      <c r="BA127" s="36"/>
      <c r="BB127" s="36"/>
      <c r="BC127" s="36"/>
      <c r="BD127" s="36"/>
      <c r="BE127" s="36"/>
    </row>
    <row r="128" spans="2:59" s="30" customFormat="1" ht="15" x14ac:dyDescent="0.2">
      <c r="B128" s="160" t="s">
        <v>304</v>
      </c>
      <c r="C128" s="33"/>
      <c r="D128" s="81"/>
      <c r="E128" s="33"/>
      <c r="G128" s="33"/>
      <c r="H128" s="81"/>
      <c r="J128" s="32"/>
      <c r="K128" s="37"/>
      <c r="L128" s="37"/>
      <c r="M128" s="37"/>
      <c r="N128" s="37"/>
      <c r="O128" s="262"/>
      <c r="Q128" s="34"/>
      <c r="R128" s="59"/>
      <c r="S128" s="35"/>
      <c r="T128" s="104"/>
      <c r="U128" s="35"/>
      <c r="V128" s="35"/>
      <c r="W128" s="35"/>
      <c r="X128" s="35"/>
      <c r="Y128" s="35"/>
      <c r="Z128" s="35"/>
      <c r="AA128" s="35"/>
      <c r="AB128" s="35"/>
      <c r="AC128" s="35"/>
      <c r="AD128" s="35"/>
      <c r="AE128" s="35"/>
      <c r="AF128" s="35"/>
      <c r="AG128" s="35"/>
      <c r="AH128" s="35"/>
      <c r="AI128" s="35"/>
      <c r="AJ128" s="35"/>
      <c r="AK128" s="35"/>
      <c r="AL128" s="35"/>
      <c r="AM128" s="35"/>
      <c r="AN128" s="36"/>
      <c r="AO128" s="36"/>
      <c r="AP128" s="36"/>
      <c r="AQ128" s="36"/>
      <c r="AR128" s="36"/>
      <c r="AS128" s="36"/>
      <c r="AT128" s="36"/>
      <c r="AU128" s="36"/>
      <c r="AV128" s="36"/>
      <c r="AW128" s="36"/>
      <c r="AX128" s="36"/>
      <c r="AY128" s="36"/>
      <c r="AZ128" s="36"/>
      <c r="BA128" s="36"/>
      <c r="BB128" s="36"/>
      <c r="BC128" s="36"/>
      <c r="BD128" s="36"/>
      <c r="BE128" s="36"/>
    </row>
    <row r="129" spans="2:57" s="30" customFormat="1" ht="45" x14ac:dyDescent="0.2">
      <c r="B129" s="76" t="s">
        <v>694</v>
      </c>
      <c r="C129" s="474" t="s">
        <v>110</v>
      </c>
      <c r="D129" s="474"/>
      <c r="E129" s="33"/>
      <c r="G129" s="37" t="str">
        <f>IF(C129="Muu tuote tai materiaali","Muun tuotteen tai materiaalin määrän yksikkö","")</f>
        <v/>
      </c>
      <c r="H129" s="81"/>
      <c r="J129" s="32"/>
      <c r="K129" s="37" t="s">
        <v>297</v>
      </c>
      <c r="L129" s="37" t="s">
        <v>185</v>
      </c>
      <c r="M129" s="37" t="s">
        <v>287</v>
      </c>
      <c r="N129" s="37"/>
      <c r="O129" s="262"/>
      <c r="Q129" s="34"/>
      <c r="R129" s="35" t="s">
        <v>318</v>
      </c>
      <c r="S129" s="35"/>
      <c r="T129" s="104"/>
      <c r="U129" s="35"/>
      <c r="V129" s="35"/>
      <c r="W129" s="35"/>
      <c r="X129" s="35"/>
      <c r="Y129" s="35"/>
      <c r="Z129" s="35"/>
      <c r="AA129" s="35"/>
      <c r="AB129" s="35"/>
      <c r="AC129" s="35"/>
      <c r="AD129" s="35"/>
      <c r="AE129" s="35"/>
      <c r="AF129" s="35"/>
      <c r="AG129" s="35"/>
      <c r="AH129" s="35"/>
      <c r="AI129" s="35"/>
      <c r="AJ129" s="35"/>
      <c r="AK129" s="35"/>
      <c r="AL129" s="35"/>
      <c r="AM129" s="35"/>
      <c r="AN129" s="36"/>
      <c r="AO129" s="36"/>
      <c r="AP129" s="36"/>
      <c r="AQ129" s="36"/>
      <c r="AR129" s="36"/>
      <c r="AS129" s="36"/>
      <c r="AT129" s="36"/>
      <c r="AU129" s="36"/>
      <c r="AV129" s="36"/>
      <c r="AW129" s="36"/>
      <c r="AX129" s="36"/>
      <c r="AY129" s="36"/>
      <c r="AZ129" s="36"/>
      <c r="BA129" s="36"/>
      <c r="BB129" s="36"/>
      <c r="BC129" s="36"/>
      <c r="BD129" s="36"/>
      <c r="BE129" s="36"/>
    </row>
    <row r="130" spans="2:57" s="30" customFormat="1" ht="15" x14ac:dyDescent="0.2">
      <c r="B130" s="52" t="s">
        <v>331</v>
      </c>
      <c r="C130" s="156"/>
      <c r="D130" s="81" t="str">
        <f>IFERROR(VLOOKUP(C129,Materiaalit!$C$68:$D$85,2,FALSE),"Yksikkö")</f>
        <v>Yksikkö</v>
      </c>
      <c r="E130" s="33"/>
      <c r="G130" s="41"/>
      <c r="H130" s="81"/>
      <c r="J130" s="32" t="s">
        <v>332</v>
      </c>
      <c r="K130" s="92" t="str">
        <f>IFERROR(IF(ISNUMBER(L130),L130,VLOOKUP(C129,Materiaalit!$C$68:$G$85,5,FALSE)),"--")</f>
        <v>--</v>
      </c>
      <c r="L130" s="39"/>
      <c r="M130" s="396" t="str">
        <f>IF(D130="Yksikkö","--",IF(AND(D130="Oma yksikkö",ISBLANK(G130)),"Puuttuu",IF(AND(D130="Oma yksikkö",NOT(ISBLANK(G130))),"kgCO2e/" &amp; G130,"kgCO2e/" &amp; D130)))</f>
        <v>--</v>
      </c>
      <c r="N130" s="41"/>
      <c r="O130" s="261"/>
      <c r="Q130" s="34"/>
      <c r="R130" s="48" t="str">
        <f>IF(NOT(AND(ISNUMBER(K130),ISNUMBER(C130))),"",C130*K130)</f>
        <v/>
      </c>
      <c r="S130" s="98" t="s">
        <v>160</v>
      </c>
      <c r="T130" s="104"/>
      <c r="U130" s="35"/>
      <c r="V130" s="35"/>
      <c r="W130" s="35"/>
      <c r="X130" s="35"/>
      <c r="Y130" s="35"/>
      <c r="Z130" s="35"/>
      <c r="AA130" s="35"/>
      <c r="AB130" s="35"/>
      <c r="AC130" s="35"/>
      <c r="AD130" s="35"/>
      <c r="AE130" s="35"/>
      <c r="AF130" s="35"/>
      <c r="AG130" s="35"/>
      <c r="AH130" s="35"/>
      <c r="AI130" s="35"/>
      <c r="AJ130" s="35"/>
      <c r="AK130" s="35"/>
      <c r="AL130" s="35"/>
      <c r="AM130" s="35"/>
      <c r="AN130" s="36"/>
      <c r="AO130" s="36"/>
      <c r="AP130" s="36"/>
      <c r="AQ130" s="36"/>
      <c r="AR130" s="36"/>
      <c r="AS130" s="36"/>
      <c r="AT130" s="36"/>
      <c r="AU130" s="36"/>
      <c r="AV130" s="36"/>
      <c r="AW130" s="36"/>
      <c r="AX130" s="36"/>
      <c r="AY130" s="36"/>
      <c r="AZ130" s="36"/>
      <c r="BA130" s="36"/>
      <c r="BB130" s="36"/>
      <c r="BC130" s="36"/>
      <c r="BD130" s="36"/>
      <c r="BE130" s="36"/>
    </row>
    <row r="131" spans="2:57" s="30" customFormat="1" ht="15" x14ac:dyDescent="0.2">
      <c r="B131" s="160" t="s">
        <v>305</v>
      </c>
      <c r="C131" s="33"/>
      <c r="D131" s="81"/>
      <c r="E131" s="33"/>
      <c r="G131" s="33"/>
      <c r="H131" s="81"/>
      <c r="J131" s="32"/>
      <c r="K131" s="37"/>
      <c r="L131" s="37"/>
      <c r="M131" s="37"/>
      <c r="N131" s="37"/>
      <c r="O131" s="262"/>
      <c r="Q131" s="34"/>
      <c r="R131" s="59"/>
      <c r="S131" s="35"/>
      <c r="T131" s="104"/>
      <c r="U131" s="35"/>
      <c r="V131" s="35"/>
      <c r="W131" s="35"/>
      <c r="X131" s="35"/>
      <c r="Y131" s="35"/>
      <c r="Z131" s="35"/>
      <c r="AA131" s="35"/>
      <c r="AB131" s="35"/>
      <c r="AC131" s="35"/>
      <c r="AD131" s="35"/>
      <c r="AE131" s="35"/>
      <c r="AF131" s="35"/>
      <c r="AG131" s="35"/>
      <c r="AH131" s="35"/>
      <c r="AI131" s="35"/>
      <c r="AJ131" s="35"/>
      <c r="AK131" s="35"/>
      <c r="AL131" s="35"/>
      <c r="AM131" s="35"/>
      <c r="AN131" s="36"/>
      <c r="AO131" s="36"/>
      <c r="AP131" s="36"/>
      <c r="AQ131" s="36"/>
      <c r="AR131" s="36"/>
      <c r="AS131" s="36"/>
      <c r="AT131" s="36"/>
      <c r="AU131" s="36"/>
      <c r="AV131" s="36"/>
      <c r="AW131" s="36"/>
      <c r="AX131" s="36"/>
      <c r="AY131" s="36"/>
      <c r="AZ131" s="36"/>
      <c r="BA131" s="36"/>
      <c r="BB131" s="36"/>
      <c r="BC131" s="36"/>
      <c r="BD131" s="36"/>
      <c r="BE131" s="36"/>
    </row>
    <row r="132" spans="2:57" s="30" customFormat="1" ht="45" x14ac:dyDescent="0.2">
      <c r="B132" s="76" t="s">
        <v>694</v>
      </c>
      <c r="C132" s="474" t="s">
        <v>110</v>
      </c>
      <c r="D132" s="474"/>
      <c r="E132" s="33"/>
      <c r="G132" s="37" t="str">
        <f>IF(C132="Muu tuote tai materiaali","Muun tuotteen tai materiaalin määrän yksikkö","")</f>
        <v/>
      </c>
      <c r="H132" s="81"/>
      <c r="J132" s="32"/>
      <c r="K132" s="37" t="s">
        <v>297</v>
      </c>
      <c r="L132" s="37" t="s">
        <v>185</v>
      </c>
      <c r="M132" s="37" t="s">
        <v>287</v>
      </c>
      <c r="N132" s="37"/>
      <c r="O132" s="262"/>
      <c r="Q132" s="34"/>
      <c r="R132" s="35" t="s">
        <v>318</v>
      </c>
      <c r="S132" s="35"/>
      <c r="T132" s="104"/>
      <c r="U132" s="35"/>
      <c r="V132" s="35"/>
      <c r="W132" s="35"/>
      <c r="X132" s="35"/>
      <c r="Y132" s="35"/>
      <c r="Z132" s="35"/>
      <c r="AA132" s="35"/>
      <c r="AB132" s="35"/>
      <c r="AC132" s="35"/>
      <c r="AD132" s="35"/>
      <c r="AE132" s="35"/>
      <c r="AF132" s="35"/>
      <c r="AG132" s="35"/>
      <c r="AH132" s="35"/>
      <c r="AI132" s="35"/>
      <c r="AJ132" s="35"/>
      <c r="AK132" s="35"/>
      <c r="AL132" s="35"/>
      <c r="AM132" s="35"/>
      <c r="AN132" s="36"/>
      <c r="AO132" s="36"/>
      <c r="AP132" s="36"/>
      <c r="AQ132" s="36"/>
      <c r="AR132" s="36"/>
      <c r="AS132" s="36"/>
      <c r="AT132" s="36"/>
      <c r="AU132" s="36"/>
      <c r="AV132" s="36"/>
      <c r="AW132" s="36"/>
      <c r="AX132" s="36"/>
      <c r="AY132" s="36"/>
      <c r="AZ132" s="36"/>
      <c r="BA132" s="36"/>
      <c r="BB132" s="36"/>
      <c r="BC132" s="36"/>
      <c r="BD132" s="36"/>
      <c r="BE132" s="36"/>
    </row>
    <row r="133" spans="2:57" s="30" customFormat="1" ht="15" x14ac:dyDescent="0.2">
      <c r="B133" s="52" t="s">
        <v>331</v>
      </c>
      <c r="C133" s="156"/>
      <c r="D133" s="81" t="str">
        <f>IFERROR(VLOOKUP(C132,Materiaalit!$C$68:$D$85,2,FALSE),"Yksikkö")</f>
        <v>Yksikkö</v>
      </c>
      <c r="E133" s="33"/>
      <c r="G133" s="41"/>
      <c r="H133" s="81"/>
      <c r="J133" s="32" t="s">
        <v>332</v>
      </c>
      <c r="K133" s="92" t="str">
        <f>IFERROR(IF(ISNUMBER(L133),L133,VLOOKUP(C132,Materiaalit!$C$68:$G$85,5,FALSE)),"--")</f>
        <v>--</v>
      </c>
      <c r="L133" s="39"/>
      <c r="M133" s="396" t="str">
        <f>IF(D133="Yksikkö","--",IF(AND(D133="Oma yksikkö",ISBLANK(G133)),"Puuttuu",IF(AND(D133="Oma yksikkö",NOT(ISBLANK(G133))),"kgCO2e/" &amp; G133,"kgCO2e/" &amp; D133)))</f>
        <v>--</v>
      </c>
      <c r="N133" s="41"/>
      <c r="O133" s="261"/>
      <c r="Q133" s="34"/>
      <c r="R133" s="48" t="str">
        <f>IF(NOT(AND(ISNUMBER(K133),ISNUMBER(C133))),"",C133*K133)</f>
        <v/>
      </c>
      <c r="S133" s="98" t="s">
        <v>160</v>
      </c>
      <c r="T133" s="104"/>
      <c r="U133" s="35"/>
      <c r="V133" s="35"/>
      <c r="W133" s="35"/>
      <c r="X133" s="35"/>
      <c r="Y133" s="35"/>
      <c r="Z133" s="35"/>
      <c r="AA133" s="35"/>
      <c r="AB133" s="35"/>
      <c r="AC133" s="35"/>
      <c r="AD133" s="35"/>
      <c r="AE133" s="35"/>
      <c r="AF133" s="35"/>
      <c r="AG133" s="35"/>
      <c r="AH133" s="35"/>
      <c r="AI133" s="35"/>
      <c r="AJ133" s="35"/>
      <c r="AK133" s="35"/>
      <c r="AL133" s="35"/>
      <c r="AM133" s="35"/>
      <c r="AN133" s="36"/>
      <c r="AO133" s="36"/>
      <c r="AP133" s="36"/>
      <c r="AQ133" s="36"/>
      <c r="AR133" s="36"/>
      <c r="AS133" s="36"/>
      <c r="AT133" s="36"/>
      <c r="AU133" s="36"/>
      <c r="AV133" s="36"/>
      <c r="AW133" s="36"/>
      <c r="AX133" s="36"/>
      <c r="AY133" s="36"/>
      <c r="AZ133" s="36"/>
      <c r="BA133" s="36"/>
      <c r="BB133" s="36"/>
      <c r="BC133" s="36"/>
      <c r="BD133" s="36"/>
      <c r="BE133" s="36"/>
    </row>
    <row r="134" spans="2:57" s="30" customFormat="1" ht="15" x14ac:dyDescent="0.2">
      <c r="B134" s="160" t="s">
        <v>306</v>
      </c>
      <c r="C134" s="33"/>
      <c r="D134" s="81"/>
      <c r="E134" s="33"/>
      <c r="G134" s="33"/>
      <c r="H134" s="81"/>
      <c r="J134" s="32"/>
      <c r="K134" s="37"/>
      <c r="L134" s="37"/>
      <c r="M134" s="37"/>
      <c r="N134" s="37"/>
      <c r="O134" s="262"/>
      <c r="Q134" s="34"/>
      <c r="R134" s="59"/>
      <c r="S134" s="35"/>
      <c r="T134" s="104"/>
      <c r="U134" s="35"/>
      <c r="V134" s="35"/>
      <c r="W134" s="35"/>
      <c r="X134" s="35"/>
      <c r="Y134" s="35"/>
      <c r="Z134" s="35"/>
      <c r="AA134" s="35"/>
      <c r="AB134" s="35"/>
      <c r="AC134" s="35"/>
      <c r="AD134" s="35"/>
      <c r="AE134" s="35"/>
      <c r="AF134" s="35"/>
      <c r="AG134" s="35"/>
      <c r="AH134" s="35"/>
      <c r="AI134" s="35"/>
      <c r="AJ134" s="35"/>
      <c r="AK134" s="35"/>
      <c r="AL134" s="35"/>
      <c r="AM134" s="35"/>
      <c r="AN134" s="36"/>
      <c r="AO134" s="36"/>
      <c r="AP134" s="36"/>
      <c r="AQ134" s="36"/>
      <c r="AR134" s="36"/>
      <c r="AS134" s="36"/>
      <c r="AT134" s="36"/>
      <c r="AU134" s="36"/>
      <c r="AV134" s="36"/>
      <c r="AW134" s="36"/>
      <c r="AX134" s="36"/>
      <c r="AY134" s="36"/>
      <c r="AZ134" s="36"/>
      <c r="BA134" s="36"/>
      <c r="BB134" s="36"/>
      <c r="BC134" s="36"/>
      <c r="BD134" s="36"/>
      <c r="BE134" s="36"/>
    </row>
    <row r="135" spans="2:57" s="30" customFormat="1" ht="45" x14ac:dyDescent="0.2">
      <c r="B135" s="76" t="s">
        <v>694</v>
      </c>
      <c r="C135" s="474" t="s">
        <v>110</v>
      </c>
      <c r="D135" s="474"/>
      <c r="E135" s="33"/>
      <c r="G135" s="37" t="str">
        <f>IF(C135="Muu tuote tai materiaali","Muun tuotteen tai materiaalin määrän yksikkö","")</f>
        <v/>
      </c>
      <c r="H135" s="81"/>
      <c r="J135" s="32"/>
      <c r="K135" s="37" t="s">
        <v>297</v>
      </c>
      <c r="L135" s="37" t="s">
        <v>185</v>
      </c>
      <c r="M135" s="37" t="s">
        <v>287</v>
      </c>
      <c r="N135" s="37"/>
      <c r="O135" s="262"/>
      <c r="Q135" s="34"/>
      <c r="R135" s="35" t="s">
        <v>318</v>
      </c>
      <c r="S135" s="35"/>
      <c r="T135" s="104"/>
      <c r="U135" s="35"/>
      <c r="V135" s="35"/>
      <c r="W135" s="35"/>
      <c r="X135" s="35"/>
      <c r="Y135" s="35"/>
      <c r="Z135" s="35"/>
      <c r="AA135" s="35"/>
      <c r="AB135" s="35"/>
      <c r="AC135" s="35"/>
      <c r="AD135" s="35"/>
      <c r="AE135" s="35"/>
      <c r="AF135" s="35"/>
      <c r="AG135" s="35"/>
      <c r="AH135" s="35"/>
      <c r="AI135" s="35"/>
      <c r="AJ135" s="35"/>
      <c r="AK135" s="35"/>
      <c r="AL135" s="35"/>
      <c r="AM135" s="35"/>
      <c r="AN135" s="36"/>
      <c r="AO135" s="36"/>
      <c r="AP135" s="36"/>
      <c r="AQ135" s="36"/>
      <c r="AR135" s="36"/>
      <c r="AS135" s="36"/>
      <c r="AT135" s="36"/>
      <c r="AU135" s="36"/>
      <c r="AV135" s="36"/>
      <c r="AW135" s="36"/>
      <c r="AX135" s="36"/>
      <c r="AY135" s="36"/>
      <c r="AZ135" s="36"/>
      <c r="BA135" s="36"/>
      <c r="BB135" s="36"/>
      <c r="BC135" s="36"/>
      <c r="BD135" s="36"/>
      <c r="BE135" s="36"/>
    </row>
    <row r="136" spans="2:57" s="30" customFormat="1" ht="15" x14ac:dyDescent="0.2">
      <c r="B136" s="52" t="s">
        <v>331</v>
      </c>
      <c r="C136" s="156"/>
      <c r="D136" s="81" t="str">
        <f>IFERROR(VLOOKUP(C135,Materiaalit!$C$68:$D$85,2,FALSE),"Yksikkö")</f>
        <v>Yksikkö</v>
      </c>
      <c r="E136" s="33"/>
      <c r="F136" s="33"/>
      <c r="G136" s="41"/>
      <c r="H136" s="81"/>
      <c r="J136" s="32" t="s">
        <v>332</v>
      </c>
      <c r="K136" s="92" t="str">
        <f>IFERROR(IF(ISNUMBER(L136),L136,VLOOKUP(C135,Materiaalit!$C$68:$G$85,5,FALSE)),"--")</f>
        <v>--</v>
      </c>
      <c r="L136" s="39"/>
      <c r="M136" s="396" t="str">
        <f>IF(D136="Yksikkö","--",IF(AND(D136="Oma yksikkö",ISBLANK(G136)),"Puuttuu",IF(AND(D136="Oma yksikkö",NOT(ISBLANK(G136))),"kgCO2e/" &amp; G136,"kgCO2e/" &amp; D136)))</f>
        <v>--</v>
      </c>
      <c r="N136" s="41"/>
      <c r="O136" s="261"/>
      <c r="Q136" s="34"/>
      <c r="R136" s="48" t="str">
        <f>IF(NOT(AND(ISNUMBER(K136),ISNUMBER(C136))),"",C136*K136)</f>
        <v/>
      </c>
      <c r="S136" s="98" t="s">
        <v>160</v>
      </c>
      <c r="T136" s="104"/>
      <c r="U136" s="35"/>
      <c r="V136" s="35"/>
      <c r="W136" s="35"/>
      <c r="X136" s="35"/>
      <c r="Y136" s="35"/>
      <c r="Z136" s="35"/>
      <c r="AA136" s="35"/>
      <c r="AB136" s="35"/>
      <c r="AC136" s="35"/>
      <c r="AD136" s="35"/>
      <c r="AE136" s="35"/>
      <c r="AF136" s="35"/>
      <c r="AG136" s="35"/>
      <c r="AH136" s="35"/>
      <c r="AI136" s="35"/>
      <c r="AJ136" s="35"/>
      <c r="AK136" s="35"/>
      <c r="AL136" s="35"/>
      <c r="AM136" s="35"/>
      <c r="AN136" s="36"/>
      <c r="AO136" s="36"/>
      <c r="AP136" s="36"/>
      <c r="AQ136" s="36"/>
      <c r="AR136" s="36"/>
      <c r="AS136" s="36"/>
      <c r="AT136" s="36"/>
      <c r="AU136" s="36"/>
      <c r="AV136" s="36"/>
      <c r="AW136" s="36"/>
      <c r="AX136" s="36"/>
      <c r="AY136" s="36"/>
      <c r="AZ136" s="36"/>
      <c r="BA136" s="36"/>
      <c r="BB136" s="36"/>
      <c r="BC136" s="36"/>
      <c r="BD136" s="36"/>
      <c r="BE136" s="36"/>
    </row>
    <row r="137" spans="2:57" s="30" customFormat="1" ht="15" x14ac:dyDescent="0.2">
      <c r="B137" s="160" t="s">
        <v>307</v>
      </c>
      <c r="C137" s="33"/>
      <c r="D137" s="81"/>
      <c r="E137" s="33"/>
      <c r="G137" s="33"/>
      <c r="H137" s="81"/>
      <c r="J137" s="32"/>
      <c r="K137" s="37"/>
      <c r="L137" s="37"/>
      <c r="M137" s="37"/>
      <c r="N137" s="37"/>
      <c r="O137" s="262"/>
      <c r="Q137" s="34"/>
      <c r="R137" s="59"/>
      <c r="S137" s="35"/>
      <c r="T137" s="104"/>
      <c r="U137" s="35"/>
      <c r="V137" s="35"/>
      <c r="W137" s="35"/>
      <c r="X137" s="35"/>
      <c r="Y137" s="35"/>
      <c r="Z137" s="35"/>
      <c r="AA137" s="35"/>
      <c r="AB137" s="35"/>
      <c r="AC137" s="35"/>
      <c r="AD137" s="35"/>
      <c r="AE137" s="35"/>
      <c r="AF137" s="35"/>
      <c r="AG137" s="35"/>
      <c r="AH137" s="35"/>
      <c r="AI137" s="35"/>
      <c r="AJ137" s="35"/>
      <c r="AK137" s="35"/>
      <c r="AL137" s="35"/>
      <c r="AM137" s="35"/>
      <c r="AN137" s="36"/>
      <c r="AO137" s="36"/>
      <c r="AP137" s="36"/>
      <c r="AQ137" s="36"/>
      <c r="AR137" s="36"/>
      <c r="AS137" s="36"/>
      <c r="AT137" s="36"/>
      <c r="AU137" s="36"/>
      <c r="AV137" s="36"/>
      <c r="AW137" s="36"/>
      <c r="AX137" s="36"/>
      <c r="AY137" s="36"/>
      <c r="AZ137" s="36"/>
      <c r="BA137" s="36"/>
      <c r="BB137" s="36"/>
      <c r="BC137" s="36"/>
      <c r="BD137" s="36"/>
      <c r="BE137" s="36"/>
    </row>
    <row r="138" spans="2:57" s="30" customFormat="1" ht="45" x14ac:dyDescent="0.2">
      <c r="B138" s="76" t="s">
        <v>694</v>
      </c>
      <c r="C138" s="474" t="s">
        <v>110</v>
      </c>
      <c r="D138" s="474"/>
      <c r="E138" s="33"/>
      <c r="G138" s="37" t="str">
        <f>IF(C138="Muu tuote tai materiaali","Muun tuotteen tai materiaalin määrän yksikkö","")</f>
        <v/>
      </c>
      <c r="H138" s="81"/>
      <c r="J138" s="32"/>
      <c r="K138" s="37" t="s">
        <v>297</v>
      </c>
      <c r="L138" s="37" t="s">
        <v>185</v>
      </c>
      <c r="M138" s="37" t="s">
        <v>287</v>
      </c>
      <c r="N138" s="37"/>
      <c r="O138" s="262"/>
      <c r="Q138" s="34"/>
      <c r="R138" s="35" t="s">
        <v>318</v>
      </c>
      <c r="S138" s="35"/>
      <c r="T138" s="104"/>
      <c r="U138" s="35"/>
      <c r="V138" s="35"/>
      <c r="W138" s="35"/>
      <c r="X138" s="35"/>
      <c r="Y138" s="35"/>
      <c r="Z138" s="35"/>
      <c r="AA138" s="35"/>
      <c r="AB138" s="35"/>
      <c r="AC138" s="35"/>
      <c r="AD138" s="35"/>
      <c r="AE138" s="35"/>
      <c r="AF138" s="35"/>
      <c r="AG138" s="35"/>
      <c r="AH138" s="35"/>
      <c r="AI138" s="35"/>
      <c r="AJ138" s="35"/>
      <c r="AK138" s="35"/>
      <c r="AL138" s="35"/>
      <c r="AM138" s="35"/>
      <c r="AN138" s="36"/>
      <c r="AO138" s="36"/>
      <c r="AP138" s="36"/>
      <c r="AQ138" s="36"/>
      <c r="AR138" s="36"/>
      <c r="AS138" s="36"/>
      <c r="AT138" s="36"/>
      <c r="AU138" s="36"/>
      <c r="AV138" s="36"/>
      <c r="AW138" s="36"/>
      <c r="AX138" s="36"/>
      <c r="AY138" s="36"/>
      <c r="AZ138" s="36"/>
      <c r="BA138" s="36"/>
      <c r="BB138" s="36"/>
      <c r="BC138" s="36"/>
      <c r="BD138" s="36"/>
      <c r="BE138" s="36"/>
    </row>
    <row r="139" spans="2:57" s="30" customFormat="1" ht="15" x14ac:dyDescent="0.2">
      <c r="B139" s="52" t="s">
        <v>331</v>
      </c>
      <c r="C139" s="156"/>
      <c r="D139" s="81" t="str">
        <f>IFERROR(VLOOKUP(C138,Materiaalit!$C$68:$D$85,2,FALSE),"Yksikkö")</f>
        <v>Yksikkö</v>
      </c>
      <c r="E139" s="33"/>
      <c r="G139" s="41"/>
      <c r="H139" s="81"/>
      <c r="J139" s="32" t="s">
        <v>332</v>
      </c>
      <c r="K139" s="92" t="str">
        <f>IFERROR(IF(ISNUMBER(L139),L139,VLOOKUP(C138,Materiaalit!$C$68:$G$85,5,FALSE)),"--")</f>
        <v>--</v>
      </c>
      <c r="L139" s="39"/>
      <c r="M139" s="396" t="str">
        <f>IF(D139="Yksikkö","--",IF(AND(D139="Oma yksikkö",ISBLANK(G139)),"Puuttuu",IF(AND(D139="Oma yksikkö",NOT(ISBLANK(G139))),"kgCO2e/" &amp; G139,"kgCO2e/" &amp; D139)))</f>
        <v>--</v>
      </c>
      <c r="N139" s="41"/>
      <c r="O139" s="261"/>
      <c r="Q139" s="34"/>
      <c r="R139" s="48" t="str">
        <f>IF(NOT(AND(ISNUMBER(K139),ISNUMBER(C139))),"",C139*K139)</f>
        <v/>
      </c>
      <c r="S139" s="98" t="s">
        <v>160</v>
      </c>
      <c r="T139" s="104"/>
      <c r="U139" s="35"/>
      <c r="V139" s="35"/>
      <c r="W139" s="35"/>
      <c r="X139" s="35"/>
      <c r="Y139" s="35"/>
      <c r="Z139" s="35"/>
      <c r="AA139" s="35"/>
      <c r="AB139" s="35"/>
      <c r="AC139" s="35"/>
      <c r="AD139" s="35"/>
      <c r="AE139" s="35"/>
      <c r="AF139" s="35"/>
      <c r="AG139" s="35"/>
      <c r="AH139" s="35"/>
      <c r="AI139" s="35"/>
      <c r="AJ139" s="35"/>
      <c r="AK139" s="35"/>
      <c r="AL139" s="35"/>
      <c r="AM139" s="35"/>
      <c r="AN139" s="36"/>
      <c r="AO139" s="36"/>
      <c r="AP139" s="36"/>
      <c r="AQ139" s="36"/>
      <c r="AR139" s="36"/>
      <c r="AS139" s="36"/>
      <c r="AT139" s="36"/>
      <c r="AU139" s="36"/>
      <c r="AV139" s="36"/>
      <c r="AW139" s="36"/>
      <c r="AX139" s="36"/>
      <c r="AY139" s="36"/>
      <c r="AZ139" s="36"/>
      <c r="BA139" s="36"/>
      <c r="BB139" s="36"/>
      <c r="BC139" s="36"/>
      <c r="BD139" s="36"/>
      <c r="BE139" s="36"/>
    </row>
    <row r="140" spans="2:57" s="30" customFormat="1" ht="15" x14ac:dyDescent="0.2">
      <c r="C140" s="33"/>
      <c r="D140" s="81"/>
      <c r="G140" s="33"/>
      <c r="H140" s="81"/>
      <c r="J140" s="32"/>
      <c r="K140" s="33"/>
      <c r="L140" s="33"/>
      <c r="M140" s="81"/>
      <c r="N140" s="81"/>
      <c r="O140" s="81"/>
      <c r="Q140" s="34"/>
      <c r="R140" s="95"/>
      <c r="S140" s="35"/>
      <c r="T140" s="35"/>
      <c r="U140" s="35"/>
      <c r="V140" s="35"/>
      <c r="W140" s="35"/>
      <c r="X140" s="35"/>
      <c r="Y140" s="35"/>
      <c r="Z140" s="35"/>
      <c r="AA140" s="35"/>
      <c r="AB140" s="35"/>
      <c r="AC140" s="35"/>
      <c r="AD140" s="35"/>
      <c r="AE140" s="35"/>
      <c r="AF140" s="35"/>
      <c r="AG140" s="35"/>
      <c r="AH140" s="35"/>
      <c r="AI140" s="35"/>
      <c r="AJ140" s="35"/>
      <c r="AK140" s="35"/>
      <c r="AL140" s="35"/>
      <c r="AM140" s="35"/>
      <c r="AN140" s="36"/>
      <c r="AO140" s="36"/>
      <c r="AP140" s="36"/>
      <c r="AQ140" s="36"/>
      <c r="AR140" s="36"/>
      <c r="AS140" s="36"/>
      <c r="AT140" s="36"/>
      <c r="AU140" s="36"/>
      <c r="AV140" s="36"/>
      <c r="AW140" s="36"/>
      <c r="AX140" s="36"/>
      <c r="AY140" s="36"/>
      <c r="AZ140" s="36"/>
      <c r="BA140" s="36"/>
      <c r="BB140" s="36"/>
      <c r="BC140" s="36"/>
      <c r="BD140" s="36"/>
      <c r="BE140" s="36"/>
    </row>
    <row r="141" spans="2:57" s="289" customFormat="1" ht="18" x14ac:dyDescent="0.2">
      <c r="B141" s="286" t="s">
        <v>352</v>
      </c>
      <c r="C141" s="287"/>
      <c r="D141" s="288"/>
      <c r="G141" s="287"/>
      <c r="H141" s="288"/>
      <c r="K141" s="287"/>
      <c r="L141" s="287"/>
      <c r="M141" s="288"/>
      <c r="N141" s="288"/>
      <c r="O141" s="291"/>
      <c r="P141" s="311"/>
      <c r="Q141" s="295"/>
      <c r="S141" s="294"/>
      <c r="T141" s="294"/>
      <c r="U141" s="294"/>
      <c r="V141" s="294"/>
      <c r="W141" s="294"/>
      <c r="X141" s="294"/>
      <c r="Y141" s="294"/>
      <c r="Z141" s="294"/>
      <c r="AA141" s="294"/>
      <c r="AB141" s="294"/>
      <c r="AC141" s="294"/>
      <c r="AD141" s="294"/>
      <c r="AE141" s="294"/>
      <c r="AF141" s="294"/>
      <c r="AG141" s="294"/>
      <c r="AH141" s="294"/>
      <c r="AI141" s="294"/>
      <c r="AJ141" s="294"/>
      <c r="AK141" s="294"/>
      <c r="AL141" s="294"/>
      <c r="AM141" s="294"/>
      <c r="AN141" s="295"/>
      <c r="AO141" s="295"/>
      <c r="AP141" s="295"/>
      <c r="AQ141" s="295"/>
      <c r="AR141" s="295"/>
      <c r="AS141" s="295"/>
      <c r="AT141" s="295"/>
      <c r="AU141" s="295"/>
      <c r="AV141" s="295"/>
      <c r="AW141" s="295"/>
      <c r="AX141" s="295"/>
      <c r="AY141" s="295"/>
      <c r="AZ141" s="295"/>
      <c r="BA141" s="295"/>
      <c r="BB141" s="295"/>
      <c r="BC141" s="295"/>
      <c r="BD141" s="295"/>
      <c r="BE141" s="295"/>
    </row>
    <row r="142" spans="2:57" s="30" customFormat="1" ht="15.75" x14ac:dyDescent="0.2">
      <c r="B142" s="8"/>
      <c r="C142" s="33"/>
      <c r="D142" s="81"/>
      <c r="G142" s="33"/>
      <c r="H142" s="81"/>
      <c r="J142" s="32"/>
      <c r="K142" s="33"/>
      <c r="L142" s="33"/>
      <c r="M142" s="81"/>
      <c r="N142" s="81"/>
      <c r="O142" s="249" t="s">
        <v>584</v>
      </c>
      <c r="Q142" s="34"/>
      <c r="R142" s="95"/>
      <c r="S142" s="35"/>
      <c r="T142" s="35"/>
      <c r="U142" s="35"/>
      <c r="V142" s="35"/>
      <c r="W142" s="35"/>
      <c r="X142" s="35"/>
      <c r="Y142" s="35"/>
      <c r="Z142" s="35"/>
      <c r="AA142" s="35"/>
      <c r="AB142" s="35"/>
      <c r="AC142" s="35"/>
      <c r="AD142" s="35"/>
      <c r="AE142" s="35"/>
      <c r="AF142" s="35"/>
      <c r="AG142" s="35"/>
      <c r="AH142" s="35"/>
      <c r="AI142" s="35"/>
      <c r="AJ142" s="35"/>
      <c r="AK142" s="35"/>
      <c r="AL142" s="35"/>
      <c r="AM142" s="35"/>
      <c r="AN142" s="36"/>
      <c r="AO142" s="36"/>
      <c r="AP142" s="36"/>
      <c r="AQ142" s="36"/>
      <c r="AR142" s="36"/>
      <c r="AS142" s="36"/>
      <c r="AT142" s="36"/>
      <c r="AU142" s="36"/>
      <c r="AV142" s="36"/>
      <c r="AW142" s="36"/>
      <c r="AX142" s="36"/>
      <c r="AY142" s="36"/>
      <c r="AZ142" s="36"/>
      <c r="BA142" s="36"/>
      <c r="BB142" s="36"/>
      <c r="BC142" s="36"/>
      <c r="BD142" s="36"/>
      <c r="BE142" s="36"/>
    </row>
    <row r="143" spans="2:57" s="30" customFormat="1" ht="45.75" customHeight="1" x14ac:dyDescent="0.2">
      <c r="B143" s="477" t="s">
        <v>516</v>
      </c>
      <c r="C143" s="477"/>
      <c r="D143" s="477"/>
      <c r="E143" s="477"/>
      <c r="F143" s="477"/>
      <c r="G143" s="477"/>
      <c r="H143" s="477"/>
      <c r="J143" s="32"/>
      <c r="K143" s="41"/>
      <c r="L143" s="41"/>
      <c r="M143" s="40"/>
      <c r="N143" s="40"/>
      <c r="O143" s="250"/>
      <c r="Q143" s="34"/>
      <c r="R143" s="59"/>
      <c r="S143" s="98"/>
      <c r="T143" s="35"/>
      <c r="U143" s="35"/>
      <c r="V143" s="35"/>
      <c r="W143" s="35"/>
      <c r="X143" s="35"/>
      <c r="Y143" s="35"/>
      <c r="Z143" s="35"/>
      <c r="AA143" s="35"/>
      <c r="AB143" s="104"/>
      <c r="AC143" s="35"/>
      <c r="AD143" s="35"/>
      <c r="AE143" s="35"/>
      <c r="AF143" s="35"/>
      <c r="AG143" s="35"/>
      <c r="AH143" s="35"/>
      <c r="AI143" s="35"/>
      <c r="AJ143" s="35"/>
      <c r="AK143" s="35"/>
      <c r="AL143" s="35"/>
      <c r="AM143" s="35"/>
      <c r="AN143" s="36"/>
      <c r="AO143" s="36"/>
      <c r="AP143" s="36"/>
      <c r="AQ143" s="36"/>
      <c r="AR143" s="36"/>
      <c r="AS143" s="36"/>
      <c r="AT143" s="36"/>
      <c r="AU143" s="36"/>
      <c r="AV143" s="36"/>
      <c r="AW143" s="36"/>
      <c r="AX143" s="36"/>
      <c r="AY143" s="36"/>
      <c r="AZ143" s="36"/>
      <c r="BA143" s="36"/>
      <c r="BB143" s="36"/>
      <c r="BC143" s="36"/>
      <c r="BD143" s="36"/>
      <c r="BE143" s="36"/>
    </row>
    <row r="144" spans="2:57" s="30" customFormat="1" ht="60.75" customHeight="1" x14ac:dyDescent="0.2">
      <c r="B144" s="477" t="s">
        <v>661</v>
      </c>
      <c r="C144" s="477"/>
      <c r="D144" s="477"/>
      <c r="E144" s="477"/>
      <c r="F144" s="477"/>
      <c r="G144" s="477"/>
      <c r="H144" s="477"/>
      <c r="J144" s="32"/>
      <c r="K144" s="41"/>
      <c r="L144" s="41"/>
      <c r="M144" s="40"/>
      <c r="N144" s="40"/>
      <c r="O144" s="259"/>
      <c r="Q144" s="34"/>
      <c r="R144" s="59"/>
      <c r="S144" s="98"/>
      <c r="T144" s="35"/>
      <c r="U144" s="35"/>
      <c r="V144" s="35"/>
      <c r="W144" s="35"/>
      <c r="X144" s="35"/>
      <c r="Y144" s="35"/>
      <c r="Z144" s="35"/>
      <c r="AA144" s="35"/>
      <c r="AB144" s="104"/>
      <c r="AC144" s="35"/>
      <c r="AD144" s="35"/>
      <c r="AE144" s="35"/>
      <c r="AF144" s="35"/>
      <c r="AG144" s="35"/>
      <c r="AH144" s="35"/>
      <c r="AI144" s="35"/>
      <c r="AJ144" s="35"/>
      <c r="AK144" s="35"/>
      <c r="AL144" s="35"/>
      <c r="AM144" s="35"/>
      <c r="AN144" s="36"/>
      <c r="AO144" s="36"/>
      <c r="AP144" s="36"/>
      <c r="AQ144" s="36"/>
      <c r="AR144" s="36"/>
      <c r="AS144" s="36"/>
      <c r="AT144" s="36"/>
      <c r="AU144" s="36"/>
      <c r="AV144" s="36"/>
      <c r="AW144" s="36"/>
      <c r="AX144" s="36"/>
      <c r="AY144" s="36"/>
      <c r="AZ144" s="36"/>
      <c r="BA144" s="36"/>
      <c r="BB144" s="36"/>
      <c r="BC144" s="36"/>
      <c r="BD144" s="36"/>
      <c r="BE144" s="36"/>
    </row>
    <row r="145" spans="2:57" s="30" customFormat="1" ht="15.75" x14ac:dyDescent="0.2">
      <c r="B145" s="8"/>
      <c r="C145" s="33"/>
      <c r="D145" s="81"/>
      <c r="G145" s="33"/>
      <c r="H145" s="81"/>
      <c r="J145" s="32"/>
      <c r="K145" s="33"/>
      <c r="L145" s="33"/>
      <c r="M145" s="81"/>
      <c r="N145" s="81"/>
      <c r="O145" s="96"/>
      <c r="Q145" s="34"/>
      <c r="R145" s="95"/>
      <c r="S145" s="35"/>
      <c r="T145" s="35"/>
      <c r="U145" s="35"/>
      <c r="V145" s="35"/>
      <c r="W145" s="35"/>
      <c r="X145" s="35"/>
      <c r="Y145" s="35"/>
      <c r="Z145" s="35"/>
      <c r="AA145" s="35"/>
      <c r="AB145" s="35"/>
      <c r="AC145" s="35"/>
      <c r="AD145" s="35"/>
      <c r="AE145" s="35"/>
      <c r="AF145" s="35"/>
      <c r="AG145" s="35"/>
      <c r="AH145" s="35"/>
      <c r="AI145" s="35"/>
      <c r="AJ145" s="35"/>
      <c r="AK145" s="35"/>
      <c r="AL145" s="35"/>
      <c r="AM145" s="35"/>
      <c r="AN145" s="36"/>
      <c r="AO145" s="36"/>
      <c r="AP145" s="36"/>
      <c r="AQ145" s="36"/>
      <c r="AR145" s="36"/>
      <c r="AS145" s="36"/>
      <c r="AT145" s="36"/>
      <c r="AU145" s="36"/>
      <c r="AV145" s="36"/>
      <c r="AW145" s="36"/>
      <c r="AX145" s="36"/>
      <c r="AY145" s="36"/>
      <c r="AZ145" s="36"/>
      <c r="BA145" s="36"/>
      <c r="BB145" s="36"/>
      <c r="BC145" s="36"/>
      <c r="BD145" s="36"/>
      <c r="BE145" s="36"/>
    </row>
    <row r="146" spans="2:57" s="30" customFormat="1" ht="15.75" x14ac:dyDescent="0.2">
      <c r="B146" s="8" t="str">
        <f>B125</f>
        <v>Kemikaali-, tuote- tai materiaalilaji 1</v>
      </c>
      <c r="C146" s="33"/>
      <c r="D146" s="81"/>
      <c r="G146" s="33"/>
      <c r="H146" s="81"/>
      <c r="J146" s="32"/>
      <c r="K146" s="33"/>
      <c r="L146" s="33"/>
      <c r="M146" s="81"/>
      <c r="N146" s="81"/>
      <c r="O146" s="96"/>
      <c r="Q146" s="34"/>
      <c r="R146" s="35" t="s">
        <v>318</v>
      </c>
      <c r="S146" s="35"/>
      <c r="T146" s="35"/>
      <c r="U146" s="35"/>
      <c r="V146" s="35"/>
      <c r="W146" s="35"/>
      <c r="X146" s="35"/>
      <c r="Y146" s="35"/>
      <c r="Z146" s="35"/>
      <c r="AA146" s="35"/>
      <c r="AB146" s="104"/>
      <c r="AC146" s="35"/>
      <c r="AD146" s="35"/>
      <c r="AE146" s="35"/>
      <c r="AF146" s="35"/>
      <c r="AG146" s="35"/>
      <c r="AH146" s="35"/>
      <c r="AI146" s="35"/>
      <c r="AJ146" s="35"/>
      <c r="AK146" s="35"/>
      <c r="AL146" s="35"/>
      <c r="AM146" s="35"/>
      <c r="AN146" s="36"/>
      <c r="AO146" s="36"/>
      <c r="AP146" s="36"/>
      <c r="AQ146" s="36"/>
      <c r="AR146" s="36"/>
      <c r="AS146" s="36"/>
      <c r="AT146" s="36"/>
      <c r="AU146" s="36"/>
      <c r="AV146" s="36"/>
      <c r="AW146" s="36"/>
      <c r="AX146" s="36"/>
      <c r="AY146" s="36"/>
      <c r="AZ146" s="36"/>
      <c r="BA146" s="36"/>
      <c r="BB146" s="36"/>
      <c r="BC146" s="36"/>
      <c r="BD146" s="36"/>
      <c r="BE146" s="36"/>
    </row>
    <row r="147" spans="2:57" s="30" customFormat="1" ht="15" x14ac:dyDescent="0.2">
      <c r="B147" s="52" t="s">
        <v>340</v>
      </c>
      <c r="C147" s="152"/>
      <c r="D147" s="81" t="s">
        <v>252</v>
      </c>
      <c r="G147" s="33" t="s">
        <v>308</v>
      </c>
      <c r="H147" s="81"/>
      <c r="J147" s="32"/>
      <c r="K147" s="37" t="s">
        <v>297</v>
      </c>
      <c r="L147" s="37" t="s">
        <v>185</v>
      </c>
      <c r="M147" s="81"/>
      <c r="N147" s="81"/>
      <c r="O147" s="96"/>
      <c r="Q147" s="34"/>
      <c r="R147" s="48" t="str">
        <f>IF(AND(ISNUMBER(G148),ISNUMBER(C147)),SUM(R148,R151:R153),"")</f>
        <v/>
      </c>
      <c r="S147" s="98" t="s">
        <v>160</v>
      </c>
      <c r="T147" s="35"/>
      <c r="U147" s="35"/>
      <c r="V147" s="35"/>
      <c r="W147" s="35"/>
      <c r="X147" s="35"/>
      <c r="Y147" s="35"/>
      <c r="Z147" s="35"/>
      <c r="AA147" s="35"/>
      <c r="AB147" s="104"/>
      <c r="AC147" s="35"/>
      <c r="AD147" s="35"/>
      <c r="AE147" s="35"/>
      <c r="AF147" s="35"/>
      <c r="AG147" s="35"/>
      <c r="AH147" s="35"/>
      <c r="AI147" s="35"/>
      <c r="AJ147" s="35"/>
      <c r="AK147" s="35"/>
      <c r="AL147" s="35"/>
      <c r="AM147" s="35"/>
      <c r="AN147" s="36"/>
      <c r="AO147" s="36"/>
      <c r="AP147" s="36"/>
      <c r="AQ147" s="36"/>
      <c r="AR147" s="36"/>
      <c r="AS147" s="36"/>
      <c r="AT147" s="36"/>
      <c r="AU147" s="36"/>
      <c r="AV147" s="36"/>
      <c r="AW147" s="36"/>
      <c r="AX147" s="36"/>
      <c r="AY147" s="36"/>
      <c r="AZ147" s="36"/>
      <c r="BA147" s="36"/>
      <c r="BB147" s="36"/>
      <c r="BC147" s="36"/>
      <c r="BD147" s="36"/>
      <c r="BE147" s="36"/>
    </row>
    <row r="148" spans="2:57" s="30" customFormat="1" ht="30" x14ac:dyDescent="0.2">
      <c r="B148" s="151" t="s">
        <v>660</v>
      </c>
      <c r="C148" s="475" t="s">
        <v>253</v>
      </c>
      <c r="D148" s="476"/>
      <c r="G148" s="152"/>
      <c r="H148" s="81" t="s">
        <v>5</v>
      </c>
      <c r="J148" s="169" t="s">
        <v>395</v>
      </c>
      <c r="K148" s="92" t="str">
        <f>IFERROR(IF(ISNUMBER(L148),L148,(VLOOKUP(C149,Kalusto!$C$45:$G$84,5,FALSE)*(VLOOKUP(C150,Muut!$D$40:$E$43,2,FALSE)))),"--")</f>
        <v>--</v>
      </c>
      <c r="L148" s="39"/>
      <c r="M148" s="40" t="s">
        <v>184</v>
      </c>
      <c r="N148" s="40"/>
      <c r="O148" s="259"/>
      <c r="Q148" s="34"/>
      <c r="R148" s="48" t="str">
        <f>IF(ISNUMBER(Y149*X149*K148),Y149*X149*K148,"")</f>
        <v/>
      </c>
      <c r="S148" s="98" t="s">
        <v>160</v>
      </c>
      <c r="T148" s="35" t="s">
        <v>400</v>
      </c>
      <c r="U148" s="35" t="s">
        <v>349</v>
      </c>
      <c r="V148" s="35" t="s">
        <v>397</v>
      </c>
      <c r="W148" s="35" t="s">
        <v>398</v>
      </c>
      <c r="X148" s="35" t="s">
        <v>401</v>
      </c>
      <c r="Y148" s="35" t="s">
        <v>403</v>
      </c>
      <c r="Z148" s="35" t="s">
        <v>339</v>
      </c>
      <c r="AA148" s="35"/>
      <c r="AB148" s="104"/>
      <c r="AC148" s="35"/>
      <c r="AD148" s="35"/>
      <c r="AE148" s="35"/>
      <c r="AF148" s="35"/>
      <c r="AG148" s="35"/>
      <c r="AH148" s="35"/>
      <c r="AI148" s="35"/>
      <c r="AJ148" s="35"/>
      <c r="AK148" s="35"/>
      <c r="AL148" s="35"/>
      <c r="AM148" s="35"/>
      <c r="AN148" s="36"/>
      <c r="AO148" s="36"/>
      <c r="AP148" s="36"/>
      <c r="AQ148" s="36"/>
      <c r="AR148" s="36"/>
      <c r="AS148" s="36"/>
      <c r="AT148" s="36"/>
      <c r="AU148" s="36"/>
      <c r="AV148" s="36"/>
      <c r="AW148" s="36"/>
      <c r="AX148" s="36"/>
      <c r="AY148" s="36"/>
      <c r="AZ148" s="36"/>
      <c r="BA148" s="36"/>
      <c r="BB148" s="36"/>
      <c r="BC148" s="36"/>
      <c r="BD148" s="36"/>
      <c r="BE148" s="36"/>
    </row>
    <row r="149" spans="2:57" s="30" customFormat="1" ht="30" x14ac:dyDescent="0.2">
      <c r="B149" s="76" t="s">
        <v>479</v>
      </c>
      <c r="C149" s="471" t="s">
        <v>298</v>
      </c>
      <c r="D149" s="472"/>
      <c r="E149" s="472"/>
      <c r="F149" s="472"/>
      <c r="G149" s="473"/>
      <c r="J149" s="32"/>
      <c r="K149" s="37"/>
      <c r="L149" s="37"/>
      <c r="M149" s="40"/>
      <c r="N149" s="40"/>
      <c r="O149" s="259"/>
      <c r="Q149" s="45"/>
      <c r="R149" s="104"/>
      <c r="S149" s="35"/>
      <c r="T149" s="46" t="str">
        <f>IFERROR(IF(ISNUMBER(L148),"Kohdetieto",VLOOKUP(C149,Kalusto!$C$45:$L$84,7,FALSE)),"--")</f>
        <v>--</v>
      </c>
      <c r="U149" s="46" t="str">
        <f>IFERROR(IF(ISNUMBER(L148),"Kohdetieto",VLOOKUP(C149,Kalusto!$C$45:$L$84,8,FALSE)),"--")</f>
        <v>--</v>
      </c>
      <c r="V149" s="47" t="str">
        <f>IFERROR(IF(ISNUMBER(L148),"Kohdetieto",VLOOKUP(C149,Kalusto!$C$45:$L$84,9,FALSE)),"--")</f>
        <v>--</v>
      </c>
      <c r="W149" s="47" t="str">
        <f>IFERROR(IF(ISNUMBER(L148),"Kohdetieto",VLOOKUP(C149,Kalusto!$C$45:$L$84,10,FALSE)),"--")</f>
        <v>--</v>
      </c>
      <c r="X149" s="48" t="str">
        <f>IF(ISBLANK(C147),"",C147/1000)</f>
        <v/>
      </c>
      <c r="Y149" s="46" t="str">
        <f>IF(ISNUMBER(G148),G148,"")</f>
        <v/>
      </c>
      <c r="Z149" s="49" t="str">
        <f>IF(ISNUMBER(L148),L148,K148)</f>
        <v>--</v>
      </c>
      <c r="AA149" s="35"/>
      <c r="AB149" s="104"/>
      <c r="AC149" s="35"/>
      <c r="AD149" s="35"/>
      <c r="AE149" s="35"/>
      <c r="AF149" s="35"/>
      <c r="AG149" s="35"/>
      <c r="AH149" s="35"/>
      <c r="AI149" s="35"/>
      <c r="AJ149" s="35"/>
      <c r="AK149" s="35"/>
      <c r="AL149" s="35"/>
      <c r="AM149" s="35"/>
      <c r="AN149" s="36"/>
      <c r="AO149" s="36"/>
      <c r="AP149" s="36"/>
      <c r="AQ149" s="36"/>
      <c r="AR149" s="36"/>
      <c r="AS149" s="36"/>
      <c r="AT149" s="36"/>
      <c r="AU149" s="36"/>
      <c r="AV149" s="36"/>
      <c r="AW149" s="36"/>
      <c r="AX149" s="36"/>
      <c r="AY149" s="36"/>
      <c r="AZ149" s="36"/>
      <c r="BA149" s="36"/>
      <c r="BB149" s="36"/>
      <c r="BC149" s="36"/>
      <c r="BD149" s="36"/>
      <c r="BE149" s="36"/>
    </row>
    <row r="150" spans="2:57" s="30" customFormat="1" ht="15" x14ac:dyDescent="0.2">
      <c r="B150" s="76" t="s">
        <v>457</v>
      </c>
      <c r="C150" s="156" t="s">
        <v>309</v>
      </c>
      <c r="D150" s="33"/>
      <c r="E150" s="33"/>
      <c r="F150" s="33"/>
      <c r="G150" s="33"/>
      <c r="H150" s="57"/>
      <c r="J150" s="169"/>
      <c r="K150" s="37" t="s">
        <v>297</v>
      </c>
      <c r="L150" s="37" t="s">
        <v>185</v>
      </c>
      <c r="M150" s="40"/>
      <c r="N150" s="40"/>
      <c r="O150" s="259"/>
      <c r="Q150" s="45"/>
      <c r="R150" s="35"/>
      <c r="S150" s="35"/>
      <c r="T150" s="35"/>
      <c r="U150" s="35"/>
      <c r="V150" s="177"/>
      <c r="W150" s="177"/>
      <c r="X150" s="59"/>
      <c r="Y150" s="35"/>
      <c r="Z150" s="59"/>
      <c r="AA150" s="178"/>
      <c r="AB150" s="59"/>
      <c r="AC150" s="59"/>
      <c r="AD150" s="59"/>
      <c r="AE150" s="59"/>
      <c r="AF150" s="178"/>
      <c r="AG150" s="59"/>
      <c r="AH150" s="35"/>
      <c r="AI150" s="35"/>
      <c r="AJ150" s="35"/>
      <c r="AK150" s="104"/>
      <c r="AL150" s="35"/>
      <c r="AM150" s="35"/>
      <c r="AN150" s="36"/>
      <c r="AO150" s="36"/>
      <c r="AP150" s="36"/>
      <c r="AQ150" s="36"/>
      <c r="AR150" s="36"/>
      <c r="AS150" s="36"/>
      <c r="AT150" s="36"/>
      <c r="AU150" s="36"/>
      <c r="AV150" s="36"/>
      <c r="AW150" s="36"/>
      <c r="AX150" s="36"/>
      <c r="AY150" s="36"/>
      <c r="AZ150" s="36"/>
      <c r="BA150" s="36"/>
      <c r="BB150" s="36"/>
      <c r="BC150" s="36"/>
      <c r="BD150" s="36"/>
      <c r="BE150" s="36"/>
    </row>
    <row r="151" spans="2:57" s="30" customFormat="1" ht="15" x14ac:dyDescent="0.2">
      <c r="B151" s="151" t="s">
        <v>491</v>
      </c>
      <c r="C151" s="474" t="s">
        <v>739</v>
      </c>
      <c r="D151" s="474"/>
      <c r="E151" s="165"/>
      <c r="G151" s="152"/>
      <c r="H151" s="81" t="s">
        <v>5</v>
      </c>
      <c r="J151" s="32" t="str">
        <f>IFERROR(VLOOKUP(C151,Kalusto!$B$107:$C$110,2,FALSE),"Valitse kuljetustapa")</f>
        <v>Valitse kuljetustapa</v>
      </c>
      <c r="K151" s="92" t="str">
        <f>IFERROR(IF(ISNUMBER(L151),L151,VLOOKUP(J151,Kalusto!$C$107:$G$110,5,FALSE)),"--")</f>
        <v>--</v>
      </c>
      <c r="L151" s="39"/>
      <c r="M151" s="40" t="s">
        <v>184</v>
      </c>
      <c r="N151" s="40"/>
      <c r="O151" s="259"/>
      <c r="Q151" s="34"/>
      <c r="R151" s="48" t="str">
        <f>IF(AND(ISNUMBER(G151)*ISNUMBER(C147)),K151*G151*X149,"")</f>
        <v/>
      </c>
      <c r="S151" s="98" t="s">
        <v>160</v>
      </c>
      <c r="T151" s="35"/>
      <c r="U151" s="35"/>
      <c r="V151" s="35"/>
      <c r="W151" s="35"/>
      <c r="X151" s="35"/>
      <c r="Y151" s="35"/>
      <c r="Z151" s="35"/>
      <c r="AA151" s="35"/>
      <c r="AB151" s="104"/>
      <c r="AC151" s="35"/>
      <c r="AD151" s="35"/>
      <c r="AE151" s="35"/>
      <c r="AF151" s="35"/>
      <c r="AG151" s="35"/>
      <c r="AH151" s="35"/>
      <c r="AI151" s="35"/>
      <c r="AJ151" s="35"/>
      <c r="AK151" s="35"/>
      <c r="AL151" s="35"/>
      <c r="AM151" s="35"/>
      <c r="AN151" s="36"/>
      <c r="AO151" s="36"/>
      <c r="AP151" s="36"/>
      <c r="AQ151" s="36"/>
      <c r="AR151" s="36"/>
      <c r="AS151" s="36"/>
      <c r="AT151" s="36"/>
      <c r="AU151" s="36"/>
      <c r="AV151" s="36"/>
      <c r="AW151" s="36"/>
      <c r="AX151" s="36"/>
      <c r="AY151" s="36"/>
      <c r="AZ151" s="36"/>
      <c r="BA151" s="36"/>
      <c r="BB151" s="36"/>
      <c r="BC151" s="36"/>
      <c r="BD151" s="36"/>
      <c r="BE151" s="36"/>
    </row>
    <row r="152" spans="2:57" s="30" customFormat="1" ht="15" x14ac:dyDescent="0.2">
      <c r="B152" s="151" t="s">
        <v>491</v>
      </c>
      <c r="C152" s="474" t="s">
        <v>739</v>
      </c>
      <c r="D152" s="474"/>
      <c r="E152" s="165"/>
      <c r="G152" s="152"/>
      <c r="H152" s="81" t="s">
        <v>5</v>
      </c>
      <c r="J152" s="32" t="str">
        <f>IFERROR(VLOOKUP(C152,Kalusto!$B$107:$C$110,2,FALSE),"Valitse kuljetustapa")</f>
        <v>Valitse kuljetustapa</v>
      </c>
      <c r="K152" s="92" t="str">
        <f>IFERROR(IF(ISNUMBER(L152),L152,VLOOKUP(J152,Kalusto!$C$107:$G$110,5,FALSE)),"--")</f>
        <v>--</v>
      </c>
      <c r="L152" s="39"/>
      <c r="M152" s="40" t="s">
        <v>184</v>
      </c>
      <c r="N152" s="40"/>
      <c r="O152" s="259"/>
      <c r="Q152" s="34"/>
      <c r="R152" s="48" t="str">
        <f>IF(AND(ISNUMBER(G152)*ISNUMBER(C147)),K152*G152*X149,"")</f>
        <v/>
      </c>
      <c r="S152" s="98" t="s">
        <v>160</v>
      </c>
      <c r="T152" s="35"/>
      <c r="U152" s="35"/>
      <c r="V152" s="35"/>
      <c r="W152" s="35"/>
      <c r="X152" s="35"/>
      <c r="Y152" s="35"/>
      <c r="Z152" s="35"/>
      <c r="AA152" s="35"/>
      <c r="AB152" s="104"/>
      <c r="AC152" s="35"/>
      <c r="AD152" s="35"/>
      <c r="AE152" s="35"/>
      <c r="AF152" s="35"/>
      <c r="AG152" s="35"/>
      <c r="AH152" s="35"/>
      <c r="AI152" s="35"/>
      <c r="AJ152" s="35"/>
      <c r="AK152" s="35"/>
      <c r="AL152" s="35"/>
      <c r="AM152" s="35"/>
      <c r="AN152" s="36"/>
      <c r="AO152" s="36"/>
      <c r="AP152" s="36"/>
      <c r="AQ152" s="36"/>
      <c r="AR152" s="36"/>
      <c r="AS152" s="36"/>
      <c r="AT152" s="36"/>
      <c r="AU152" s="36"/>
      <c r="AV152" s="36"/>
      <c r="AW152" s="36"/>
      <c r="AX152" s="36"/>
      <c r="AY152" s="36"/>
      <c r="AZ152" s="36"/>
      <c r="BA152" s="36"/>
      <c r="BB152" s="36"/>
      <c r="BC152" s="36"/>
      <c r="BD152" s="36"/>
      <c r="BE152" s="36"/>
    </row>
    <row r="153" spans="2:57" s="30" customFormat="1" ht="15" x14ac:dyDescent="0.2">
      <c r="B153" s="151" t="s">
        <v>491</v>
      </c>
      <c r="C153" s="474" t="s">
        <v>739</v>
      </c>
      <c r="D153" s="474"/>
      <c r="E153" s="165"/>
      <c r="G153" s="152"/>
      <c r="H153" s="81" t="s">
        <v>5</v>
      </c>
      <c r="J153" s="32" t="str">
        <f>IFERROR(VLOOKUP(C153,Kalusto!$B$107:$C$110,2,FALSE),"Valitse kuljetustapa")</f>
        <v>Valitse kuljetustapa</v>
      </c>
      <c r="K153" s="92" t="str">
        <f>IFERROR(IF(ISNUMBER(L153),L153,VLOOKUP(J153,Kalusto!$C$107:$G$110,5,FALSE)),"--")</f>
        <v>--</v>
      </c>
      <c r="L153" s="39"/>
      <c r="M153" s="40" t="s">
        <v>184</v>
      </c>
      <c r="N153" s="40"/>
      <c r="O153" s="259"/>
      <c r="Q153" s="34"/>
      <c r="R153" s="48" t="str">
        <f>IF(AND(ISNUMBER(G153)*ISNUMBER(C147)),K153*G153*X149,"")</f>
        <v/>
      </c>
      <c r="S153" s="98" t="s">
        <v>160</v>
      </c>
      <c r="T153" s="35"/>
      <c r="U153" s="35"/>
      <c r="V153" s="35"/>
      <c r="W153" s="35"/>
      <c r="X153" s="35"/>
      <c r="Y153" s="35"/>
      <c r="Z153" s="35"/>
      <c r="AA153" s="35"/>
      <c r="AB153" s="104"/>
      <c r="AC153" s="35"/>
      <c r="AD153" s="35"/>
      <c r="AE153" s="35"/>
      <c r="AF153" s="35"/>
      <c r="AG153" s="35"/>
      <c r="AH153" s="35"/>
      <c r="AI153" s="35"/>
      <c r="AJ153" s="35"/>
      <c r="AK153" s="35"/>
      <c r="AL153" s="35"/>
      <c r="AM153" s="35"/>
      <c r="AN153" s="36"/>
      <c r="AO153" s="36"/>
      <c r="AP153" s="36"/>
      <c r="AQ153" s="36"/>
      <c r="AR153" s="36"/>
      <c r="AS153" s="36"/>
      <c r="AT153" s="36"/>
      <c r="AU153" s="36"/>
      <c r="AV153" s="36"/>
      <c r="AW153" s="36"/>
      <c r="AX153" s="36"/>
      <c r="AY153" s="36"/>
      <c r="AZ153" s="36"/>
      <c r="BA153" s="36"/>
      <c r="BB153" s="36"/>
      <c r="BC153" s="36"/>
      <c r="BD153" s="36"/>
      <c r="BE153" s="36"/>
    </row>
    <row r="154" spans="2:57" s="30" customFormat="1" ht="15.75" x14ac:dyDescent="0.2">
      <c r="B154" s="8" t="str">
        <f>B128</f>
        <v>Kemikaali-, tuote- tai materiaalilaji 2</v>
      </c>
      <c r="C154" s="33"/>
      <c r="D154" s="81"/>
      <c r="G154" s="70"/>
      <c r="H154" s="81"/>
      <c r="J154" s="32"/>
      <c r="K154" s="33"/>
      <c r="L154" s="33"/>
      <c r="M154" s="81"/>
      <c r="N154" s="81"/>
      <c r="O154" s="96"/>
      <c r="Q154" s="34"/>
      <c r="R154" s="35" t="s">
        <v>318</v>
      </c>
      <c r="S154" s="35"/>
      <c r="T154" s="35"/>
      <c r="U154" s="35"/>
      <c r="V154" s="35"/>
      <c r="W154" s="35"/>
      <c r="X154" s="35"/>
      <c r="Y154" s="35"/>
      <c r="Z154" s="35"/>
      <c r="AA154" s="35"/>
      <c r="AB154" s="104"/>
      <c r="AC154" s="35"/>
      <c r="AD154" s="35"/>
      <c r="AE154" s="35"/>
      <c r="AF154" s="35"/>
      <c r="AG154" s="35"/>
      <c r="AH154" s="35"/>
      <c r="AI154" s="35"/>
      <c r="AJ154" s="35"/>
      <c r="AK154" s="35"/>
      <c r="AL154" s="35"/>
      <c r="AM154" s="35"/>
      <c r="AN154" s="36"/>
      <c r="AO154" s="36"/>
      <c r="AP154" s="36"/>
      <c r="AQ154" s="36"/>
      <c r="AR154" s="36"/>
      <c r="AS154" s="36"/>
      <c r="AT154" s="36"/>
      <c r="AU154" s="36"/>
      <c r="AV154" s="36"/>
      <c r="AW154" s="36"/>
      <c r="AX154" s="36"/>
      <c r="AY154" s="36"/>
      <c r="AZ154" s="36"/>
      <c r="BA154" s="36"/>
      <c r="BB154" s="36"/>
      <c r="BC154" s="36"/>
      <c r="BD154" s="36"/>
      <c r="BE154" s="36"/>
    </row>
    <row r="155" spans="2:57" s="30" customFormat="1" ht="15" x14ac:dyDescent="0.2">
      <c r="B155" s="52" t="s">
        <v>340</v>
      </c>
      <c r="C155" s="152"/>
      <c r="D155" s="81" t="s">
        <v>252</v>
      </c>
      <c r="G155" s="33"/>
      <c r="H155" s="81"/>
      <c r="J155" s="32"/>
      <c r="K155" s="37" t="s">
        <v>297</v>
      </c>
      <c r="L155" s="37" t="s">
        <v>185</v>
      </c>
      <c r="M155" s="81"/>
      <c r="N155" s="81"/>
      <c r="O155" s="96"/>
      <c r="Q155" s="34"/>
      <c r="R155" s="48" t="str">
        <f>IF(AND(ISNUMBER(G156),ISNUMBER(C155)),SUM(R156,R159:R161),"")</f>
        <v/>
      </c>
      <c r="S155" s="98" t="s">
        <v>160</v>
      </c>
      <c r="T155" s="35"/>
      <c r="U155" s="35"/>
      <c r="V155" s="35"/>
      <c r="W155" s="35"/>
      <c r="X155" s="35"/>
      <c r="Y155" s="35"/>
      <c r="Z155" s="35"/>
      <c r="AA155" s="35"/>
      <c r="AB155" s="104"/>
      <c r="AC155" s="35"/>
      <c r="AD155" s="35"/>
      <c r="AE155" s="35"/>
      <c r="AF155" s="35"/>
      <c r="AG155" s="35"/>
      <c r="AH155" s="35"/>
      <c r="AI155" s="35"/>
      <c r="AJ155" s="35"/>
      <c r="AK155" s="35"/>
      <c r="AL155" s="35"/>
      <c r="AM155" s="35"/>
      <c r="AN155" s="36"/>
      <c r="AO155" s="36"/>
      <c r="AP155" s="36"/>
      <c r="AQ155" s="36"/>
      <c r="AR155" s="36"/>
      <c r="AS155" s="36"/>
      <c r="AT155" s="36"/>
      <c r="AU155" s="36"/>
      <c r="AV155" s="36"/>
      <c r="AW155" s="36"/>
      <c r="AX155" s="36"/>
      <c r="AY155" s="36"/>
      <c r="AZ155" s="36"/>
      <c r="BA155" s="36"/>
      <c r="BB155" s="36"/>
      <c r="BC155" s="36"/>
      <c r="BD155" s="36"/>
      <c r="BE155" s="36"/>
    </row>
    <row r="156" spans="2:57" s="30" customFormat="1" ht="30" x14ac:dyDescent="0.2">
      <c r="B156" s="151" t="s">
        <v>660</v>
      </c>
      <c r="C156" s="475" t="s">
        <v>253</v>
      </c>
      <c r="D156" s="476"/>
      <c r="G156" s="152"/>
      <c r="H156" s="81" t="s">
        <v>5</v>
      </c>
      <c r="J156" s="169" t="s">
        <v>395</v>
      </c>
      <c r="K156" s="92" t="str">
        <f>IFERROR(IF(ISNUMBER(L156),L156,(VLOOKUP(C157,Kalusto!$C$45:$G$84,5,FALSE)*(VLOOKUP(C158,Muut!$D$40:$E$43,2,FALSE)))),"--")</f>
        <v>--</v>
      </c>
      <c r="L156" s="39"/>
      <c r="M156" s="40" t="s">
        <v>184</v>
      </c>
      <c r="N156" s="40"/>
      <c r="O156" s="259"/>
      <c r="Q156" s="34"/>
      <c r="R156" s="48" t="str">
        <f>IF(ISNUMBER(Y157*X157*K156),Y157*X157*K156,"")</f>
        <v/>
      </c>
      <c r="S156" s="98" t="s">
        <v>160</v>
      </c>
      <c r="T156" s="35" t="s">
        <v>400</v>
      </c>
      <c r="U156" s="35" t="s">
        <v>349</v>
      </c>
      <c r="V156" s="35" t="s">
        <v>397</v>
      </c>
      <c r="W156" s="35" t="s">
        <v>398</v>
      </c>
      <c r="X156" s="35" t="s">
        <v>401</v>
      </c>
      <c r="Y156" s="35" t="s">
        <v>403</v>
      </c>
      <c r="Z156" s="35" t="s">
        <v>339</v>
      </c>
      <c r="AA156" s="35"/>
      <c r="AB156" s="104"/>
      <c r="AC156" s="35"/>
      <c r="AD156" s="35"/>
      <c r="AE156" s="35"/>
      <c r="AF156" s="35"/>
      <c r="AG156" s="35"/>
      <c r="AH156" s="35"/>
      <c r="AI156" s="35"/>
      <c r="AJ156" s="35"/>
      <c r="AK156" s="35"/>
      <c r="AL156" s="35"/>
      <c r="AM156" s="35"/>
      <c r="AN156" s="36"/>
      <c r="AO156" s="36"/>
      <c r="AP156" s="36"/>
      <c r="AQ156" s="36"/>
      <c r="AR156" s="36"/>
      <c r="AS156" s="36"/>
      <c r="AT156" s="36"/>
      <c r="AU156" s="36"/>
      <c r="AV156" s="36"/>
      <c r="AW156" s="36"/>
      <c r="AX156" s="36"/>
      <c r="AY156" s="36"/>
      <c r="AZ156" s="36"/>
      <c r="BA156" s="36"/>
      <c r="BB156" s="36"/>
      <c r="BC156" s="36"/>
      <c r="BD156" s="36"/>
      <c r="BE156" s="36"/>
    </row>
    <row r="157" spans="2:57" s="30" customFormat="1" ht="15" x14ac:dyDescent="0.2">
      <c r="B157" s="76" t="s">
        <v>342</v>
      </c>
      <c r="C157" s="471" t="s">
        <v>298</v>
      </c>
      <c r="D157" s="472"/>
      <c r="E157" s="472"/>
      <c r="F157" s="472"/>
      <c r="G157" s="473"/>
      <c r="J157" s="32"/>
      <c r="K157" s="37"/>
      <c r="L157" s="37"/>
      <c r="M157" s="40"/>
      <c r="N157" s="40"/>
      <c r="O157" s="259"/>
      <c r="Q157" s="45"/>
      <c r="R157" s="104"/>
      <c r="S157" s="35"/>
      <c r="T157" s="46" t="str">
        <f>IFERROR(IF(ISNUMBER(L156),"Kohdetieto",VLOOKUP(C157,Kalusto!$C$45:$L$84,7,FALSE)),"--")</f>
        <v>--</v>
      </c>
      <c r="U157" s="46" t="str">
        <f>IFERROR(IF(ISNUMBER(L156),"Kohdetieto",VLOOKUP(C157,Kalusto!$C$45:$L$84,8,FALSE)),"--")</f>
        <v>--</v>
      </c>
      <c r="V157" s="47" t="str">
        <f>IFERROR(IF(ISNUMBER(L156),"Kohdetieto",VLOOKUP(C157,Kalusto!$C$45:$L$84,9,FALSE)),"--")</f>
        <v>--</v>
      </c>
      <c r="W157" s="47" t="str">
        <f>IFERROR(IF(ISNUMBER(L156),"Kohdetieto",VLOOKUP(C157,Kalusto!$C$45:$L$84,10,FALSE)),"--")</f>
        <v>--</v>
      </c>
      <c r="X157" s="48" t="str">
        <f>IF(ISBLANK(C155),"",C155/1000)</f>
        <v/>
      </c>
      <c r="Y157" s="46" t="str">
        <f>IF(ISNUMBER(G156),G156,"")</f>
        <v/>
      </c>
      <c r="Z157" s="49" t="str">
        <f>IF(ISNUMBER(L156),L156,K156)</f>
        <v>--</v>
      </c>
      <c r="AA157" s="35"/>
      <c r="AB157" s="104"/>
      <c r="AC157" s="35"/>
      <c r="AD157" s="35"/>
      <c r="AE157" s="35"/>
      <c r="AF157" s="35"/>
      <c r="AG157" s="35"/>
      <c r="AH157" s="35"/>
      <c r="AI157" s="35"/>
      <c r="AJ157" s="35"/>
      <c r="AK157" s="35"/>
      <c r="AL157" s="35"/>
      <c r="AM157" s="35"/>
      <c r="AN157" s="36"/>
      <c r="AO157" s="36"/>
      <c r="AP157" s="36"/>
      <c r="AQ157" s="36"/>
      <c r="AR157" s="36"/>
      <c r="AS157" s="36"/>
      <c r="AT157" s="36"/>
      <c r="AU157" s="36"/>
      <c r="AV157" s="36"/>
      <c r="AW157" s="36"/>
      <c r="AX157" s="36"/>
      <c r="AY157" s="36"/>
      <c r="AZ157" s="36"/>
      <c r="BA157" s="36"/>
      <c r="BB157" s="36"/>
      <c r="BC157" s="36"/>
      <c r="BD157" s="36"/>
      <c r="BE157" s="36"/>
    </row>
    <row r="158" spans="2:57" s="30" customFormat="1" ht="15" x14ac:dyDescent="0.2">
      <c r="B158" s="76" t="s">
        <v>457</v>
      </c>
      <c r="C158" s="156" t="s">
        <v>309</v>
      </c>
      <c r="D158" s="33"/>
      <c r="E158" s="33"/>
      <c r="F158" s="33"/>
      <c r="G158" s="33"/>
      <c r="H158" s="57"/>
      <c r="J158" s="169"/>
      <c r="K158" s="37" t="s">
        <v>297</v>
      </c>
      <c r="L158" s="37" t="s">
        <v>185</v>
      </c>
      <c r="M158" s="40"/>
      <c r="N158" s="40"/>
      <c r="O158" s="259"/>
      <c r="Q158" s="45"/>
      <c r="R158" s="35"/>
      <c r="S158" s="35"/>
      <c r="T158" s="35"/>
      <c r="U158" s="35"/>
      <c r="V158" s="177"/>
      <c r="W158" s="177"/>
      <c r="X158" s="59"/>
      <c r="Y158" s="35"/>
      <c r="Z158" s="59"/>
      <c r="AA158" s="178"/>
      <c r="AB158" s="59"/>
      <c r="AC158" s="59"/>
      <c r="AD158" s="59"/>
      <c r="AE158" s="59"/>
      <c r="AF158" s="178"/>
      <c r="AG158" s="59"/>
      <c r="AH158" s="35"/>
      <c r="AI158" s="35"/>
      <c r="AJ158" s="35"/>
      <c r="AK158" s="104"/>
      <c r="AL158" s="35"/>
      <c r="AM158" s="35"/>
      <c r="AN158" s="36"/>
      <c r="AO158" s="36"/>
      <c r="AP158" s="36"/>
      <c r="AQ158" s="36"/>
      <c r="AR158" s="36"/>
      <c r="AS158" s="36"/>
      <c r="AT158" s="36"/>
      <c r="AU158" s="36"/>
      <c r="AV158" s="36"/>
      <c r="AW158" s="36"/>
      <c r="AX158" s="36"/>
      <c r="AY158" s="36"/>
      <c r="AZ158" s="36"/>
      <c r="BA158" s="36"/>
      <c r="BB158" s="36"/>
      <c r="BC158" s="36"/>
      <c r="BD158" s="36"/>
      <c r="BE158" s="36"/>
    </row>
    <row r="159" spans="2:57" s="30" customFormat="1" ht="15" x14ac:dyDescent="0.2">
      <c r="B159" s="151" t="s">
        <v>491</v>
      </c>
      <c r="C159" s="474" t="s">
        <v>739</v>
      </c>
      <c r="D159" s="474"/>
      <c r="G159" s="152"/>
      <c r="H159" s="81" t="s">
        <v>5</v>
      </c>
      <c r="J159" s="32" t="str">
        <f>IFERROR(VLOOKUP(C159,Kalusto!$B$107:$C$110,2,FALSE),"Valitse kuljetustapa")</f>
        <v>Valitse kuljetustapa</v>
      </c>
      <c r="K159" s="92" t="str">
        <f>IFERROR(IF(ISNUMBER(L159),L159,VLOOKUP(J159,Kalusto!$C$107:$G$110,5,FALSE)),"--")</f>
        <v>--</v>
      </c>
      <c r="L159" s="39"/>
      <c r="M159" s="40" t="s">
        <v>184</v>
      </c>
      <c r="N159" s="40"/>
      <c r="O159" s="259"/>
      <c r="Q159" s="34"/>
      <c r="R159" s="48" t="str">
        <f>IF(AND(ISNUMBER(G159)*ISNUMBER(C155)),K159*G159*X157,"")</f>
        <v/>
      </c>
      <c r="S159" s="98" t="s">
        <v>160</v>
      </c>
      <c r="T159" s="35"/>
      <c r="U159" s="35"/>
      <c r="V159" s="35"/>
      <c r="W159" s="35"/>
      <c r="X159" s="35"/>
      <c r="Y159" s="35"/>
      <c r="Z159" s="35"/>
      <c r="AA159" s="35"/>
      <c r="AB159" s="104"/>
      <c r="AC159" s="35"/>
      <c r="AD159" s="35"/>
      <c r="AE159" s="35"/>
      <c r="AF159" s="35"/>
      <c r="AG159" s="35"/>
      <c r="AH159" s="35"/>
      <c r="AI159" s="35"/>
      <c r="AJ159" s="35"/>
      <c r="AK159" s="35"/>
      <c r="AL159" s="35"/>
      <c r="AM159" s="35"/>
      <c r="AN159" s="36"/>
      <c r="AO159" s="36"/>
      <c r="AP159" s="36"/>
      <c r="AQ159" s="36"/>
      <c r="AR159" s="36"/>
      <c r="AS159" s="36"/>
      <c r="AT159" s="36"/>
      <c r="AU159" s="36"/>
      <c r="AV159" s="36"/>
      <c r="AW159" s="36"/>
      <c r="AX159" s="36"/>
      <c r="AY159" s="36"/>
      <c r="AZ159" s="36"/>
      <c r="BA159" s="36"/>
      <c r="BB159" s="36"/>
      <c r="BC159" s="36"/>
      <c r="BD159" s="36"/>
      <c r="BE159" s="36"/>
    </row>
    <row r="160" spans="2:57" s="30" customFormat="1" ht="15" x14ac:dyDescent="0.2">
      <c r="B160" s="151" t="s">
        <v>491</v>
      </c>
      <c r="C160" s="474" t="s">
        <v>739</v>
      </c>
      <c r="D160" s="474"/>
      <c r="G160" s="152"/>
      <c r="H160" s="81" t="s">
        <v>5</v>
      </c>
      <c r="J160" s="32" t="str">
        <f>IFERROR(VLOOKUP(C160,Kalusto!$B$107:$C$110,2,FALSE),"Valitse kuljetustapa")</f>
        <v>Valitse kuljetustapa</v>
      </c>
      <c r="K160" s="92" t="str">
        <f>IFERROR(IF(ISNUMBER(L160),L160,VLOOKUP(J160,Kalusto!$C$107:$G$110,5,FALSE)),"--")</f>
        <v>--</v>
      </c>
      <c r="L160" s="39"/>
      <c r="M160" s="40" t="s">
        <v>184</v>
      </c>
      <c r="N160" s="40"/>
      <c r="O160" s="259"/>
      <c r="Q160" s="34"/>
      <c r="R160" s="48" t="str">
        <f>IF(AND(ISNUMBER(G160)*ISNUMBER(C155)),K160*G160*X157,"")</f>
        <v/>
      </c>
      <c r="S160" s="98" t="s">
        <v>160</v>
      </c>
      <c r="T160" s="35"/>
      <c r="U160" s="35"/>
      <c r="V160" s="35"/>
      <c r="W160" s="35"/>
      <c r="X160" s="35"/>
      <c r="Y160" s="35"/>
      <c r="Z160" s="35"/>
      <c r="AA160" s="35"/>
      <c r="AB160" s="104"/>
      <c r="AC160" s="35"/>
      <c r="AD160" s="35"/>
      <c r="AE160" s="35"/>
      <c r="AF160" s="35"/>
      <c r="AG160" s="35"/>
      <c r="AH160" s="35"/>
      <c r="AI160" s="35"/>
      <c r="AJ160" s="35"/>
      <c r="AK160" s="35"/>
      <c r="AL160" s="35"/>
      <c r="AM160" s="35"/>
      <c r="AN160" s="36"/>
      <c r="AO160" s="36"/>
      <c r="AP160" s="36"/>
      <c r="AQ160" s="36"/>
      <c r="AR160" s="36"/>
      <c r="AS160" s="36"/>
      <c r="AT160" s="36"/>
      <c r="AU160" s="36"/>
      <c r="AV160" s="36"/>
      <c r="AW160" s="36"/>
      <c r="AX160" s="36"/>
      <c r="AY160" s="36"/>
      <c r="AZ160" s="36"/>
      <c r="BA160" s="36"/>
      <c r="BB160" s="36"/>
      <c r="BC160" s="36"/>
      <c r="BD160" s="36"/>
      <c r="BE160" s="36"/>
    </row>
    <row r="161" spans="2:57" s="30" customFormat="1" ht="15" x14ac:dyDescent="0.2">
      <c r="B161" s="151" t="s">
        <v>491</v>
      </c>
      <c r="C161" s="474" t="s">
        <v>739</v>
      </c>
      <c r="D161" s="474"/>
      <c r="G161" s="152"/>
      <c r="H161" s="81" t="s">
        <v>5</v>
      </c>
      <c r="J161" s="32" t="str">
        <f>IFERROR(VLOOKUP(C161,Kalusto!$B$107:$C$110,2,FALSE),"Valitse kuljetustapa")</f>
        <v>Valitse kuljetustapa</v>
      </c>
      <c r="K161" s="92" t="str">
        <f>IFERROR(IF(ISNUMBER(L161),L161,VLOOKUP(J161,Kalusto!$C$107:$G$110,5,FALSE)),"--")</f>
        <v>--</v>
      </c>
      <c r="L161" s="39"/>
      <c r="M161" s="40" t="s">
        <v>184</v>
      </c>
      <c r="N161" s="40"/>
      <c r="O161" s="259"/>
      <c r="Q161" s="34"/>
      <c r="R161" s="48" t="str">
        <f>IF(AND(ISNUMBER(G161)*ISNUMBER(C155)),K161*G161*X157,"")</f>
        <v/>
      </c>
      <c r="S161" s="98" t="s">
        <v>160</v>
      </c>
      <c r="T161" s="35"/>
      <c r="U161" s="35"/>
      <c r="V161" s="35"/>
      <c r="W161" s="35"/>
      <c r="X161" s="35"/>
      <c r="Y161" s="35"/>
      <c r="Z161" s="35"/>
      <c r="AA161" s="35"/>
      <c r="AB161" s="104"/>
      <c r="AC161" s="35"/>
      <c r="AD161" s="35"/>
      <c r="AE161" s="35"/>
      <c r="AF161" s="35"/>
      <c r="AG161" s="35"/>
      <c r="AH161" s="35"/>
      <c r="AI161" s="35"/>
      <c r="AJ161" s="35"/>
      <c r="AK161" s="35"/>
      <c r="AL161" s="35"/>
      <c r="AM161" s="35"/>
      <c r="AN161" s="36"/>
      <c r="AO161" s="36"/>
      <c r="AP161" s="36"/>
      <c r="AQ161" s="36"/>
      <c r="AR161" s="36"/>
      <c r="AS161" s="36"/>
      <c r="AT161" s="36"/>
      <c r="AU161" s="36"/>
      <c r="AV161" s="36"/>
      <c r="AW161" s="36"/>
      <c r="AX161" s="36"/>
      <c r="AY161" s="36"/>
      <c r="AZ161" s="36"/>
      <c r="BA161" s="36"/>
      <c r="BB161" s="36"/>
      <c r="BC161" s="36"/>
      <c r="BD161" s="36"/>
      <c r="BE161" s="36"/>
    </row>
    <row r="162" spans="2:57" s="30" customFormat="1" ht="15.75" x14ac:dyDescent="0.2">
      <c r="B162" s="8" t="str">
        <f>B131</f>
        <v>Kemikaali-, tuote- tai materiaalilaji 3</v>
      </c>
      <c r="C162" s="33"/>
      <c r="D162" s="81"/>
      <c r="G162" s="70"/>
      <c r="H162" s="81"/>
      <c r="J162" s="32"/>
      <c r="K162" s="33"/>
      <c r="L162" s="33"/>
      <c r="M162" s="81"/>
      <c r="N162" s="81"/>
      <c r="O162" s="96"/>
      <c r="Q162" s="34"/>
      <c r="R162" s="35" t="s">
        <v>318</v>
      </c>
      <c r="S162" s="35"/>
      <c r="T162" s="35"/>
      <c r="U162" s="35"/>
      <c r="V162" s="35"/>
      <c r="W162" s="35"/>
      <c r="X162" s="35"/>
      <c r="Y162" s="35"/>
      <c r="Z162" s="35"/>
      <c r="AA162" s="35"/>
      <c r="AB162" s="104"/>
      <c r="AC162" s="35"/>
      <c r="AD162" s="35"/>
      <c r="AE162" s="35"/>
      <c r="AF162" s="35"/>
      <c r="AG162" s="35"/>
      <c r="AH162" s="35"/>
      <c r="AI162" s="35"/>
      <c r="AJ162" s="35"/>
      <c r="AK162" s="35"/>
      <c r="AL162" s="35"/>
      <c r="AM162" s="35"/>
      <c r="AN162" s="36"/>
      <c r="AO162" s="36"/>
      <c r="AP162" s="36"/>
      <c r="AQ162" s="36"/>
      <c r="AR162" s="36"/>
      <c r="AS162" s="36"/>
      <c r="AT162" s="36"/>
      <c r="AU162" s="36"/>
      <c r="AV162" s="36"/>
      <c r="AW162" s="36"/>
      <c r="AX162" s="36"/>
      <c r="AY162" s="36"/>
      <c r="AZ162" s="36"/>
      <c r="BA162" s="36"/>
      <c r="BB162" s="36"/>
      <c r="BC162" s="36"/>
      <c r="BD162" s="36"/>
      <c r="BE162" s="36"/>
    </row>
    <row r="163" spans="2:57" s="30" customFormat="1" ht="15" x14ac:dyDescent="0.2">
      <c r="B163" s="52" t="s">
        <v>340</v>
      </c>
      <c r="C163" s="152"/>
      <c r="D163" s="81" t="s">
        <v>252</v>
      </c>
      <c r="G163" s="33"/>
      <c r="H163" s="81"/>
      <c r="J163" s="32"/>
      <c r="K163" s="37" t="s">
        <v>297</v>
      </c>
      <c r="L163" s="37" t="s">
        <v>185</v>
      </c>
      <c r="M163" s="81"/>
      <c r="N163" s="81"/>
      <c r="O163" s="96"/>
      <c r="Q163" s="34"/>
      <c r="R163" s="48" t="str">
        <f>IF(AND(ISNUMBER(G164),ISNUMBER(C163)),SUM(R164,R167:R169),"")</f>
        <v/>
      </c>
      <c r="S163" s="98" t="s">
        <v>160</v>
      </c>
      <c r="T163" s="35"/>
      <c r="U163" s="35"/>
      <c r="V163" s="35"/>
      <c r="W163" s="35"/>
      <c r="X163" s="35"/>
      <c r="Y163" s="35"/>
      <c r="Z163" s="35"/>
      <c r="AA163" s="35"/>
      <c r="AB163" s="104"/>
      <c r="AC163" s="35"/>
      <c r="AD163" s="35"/>
      <c r="AE163" s="35"/>
      <c r="AF163" s="35"/>
      <c r="AG163" s="35"/>
      <c r="AH163" s="35"/>
      <c r="AI163" s="35"/>
      <c r="AJ163" s="35"/>
      <c r="AK163" s="35"/>
      <c r="AL163" s="35"/>
      <c r="AM163" s="35"/>
      <c r="AN163" s="36"/>
      <c r="AO163" s="36"/>
      <c r="AP163" s="36"/>
      <c r="AQ163" s="36"/>
      <c r="AR163" s="36"/>
      <c r="AS163" s="36"/>
      <c r="AT163" s="36"/>
      <c r="AU163" s="36"/>
      <c r="AV163" s="36"/>
      <c r="AW163" s="36"/>
      <c r="AX163" s="36"/>
      <c r="AY163" s="36"/>
      <c r="AZ163" s="36"/>
      <c r="BA163" s="36"/>
      <c r="BB163" s="36"/>
      <c r="BC163" s="36"/>
      <c r="BD163" s="36"/>
      <c r="BE163" s="36"/>
    </row>
    <row r="164" spans="2:57" s="30" customFormat="1" ht="30" x14ac:dyDescent="0.2">
      <c r="B164" s="151" t="s">
        <v>660</v>
      </c>
      <c r="C164" s="475" t="s">
        <v>253</v>
      </c>
      <c r="D164" s="476"/>
      <c r="G164" s="152"/>
      <c r="H164" s="81" t="s">
        <v>5</v>
      </c>
      <c r="J164" s="169" t="s">
        <v>395</v>
      </c>
      <c r="K164" s="92" t="str">
        <f>IFERROR(IF(ISNUMBER(L164),L164,(VLOOKUP(C165,Kalusto!$C$45:$G$84,5,FALSE)*(VLOOKUP(C166,Muut!$D$40:$E$43,2,FALSE)))),"--")</f>
        <v>--</v>
      </c>
      <c r="L164" s="39"/>
      <c r="M164" s="40" t="s">
        <v>184</v>
      </c>
      <c r="N164" s="40"/>
      <c r="O164" s="259"/>
      <c r="Q164" s="34"/>
      <c r="R164" s="48" t="str">
        <f>IF(ISNUMBER(Y165*X165*K164),Y165*X165*K164,"")</f>
        <v/>
      </c>
      <c r="S164" s="98" t="s">
        <v>160</v>
      </c>
      <c r="T164" s="35" t="s">
        <v>400</v>
      </c>
      <c r="U164" s="35" t="s">
        <v>349</v>
      </c>
      <c r="V164" s="35" t="s">
        <v>397</v>
      </c>
      <c r="W164" s="35" t="s">
        <v>398</v>
      </c>
      <c r="X164" s="35" t="s">
        <v>401</v>
      </c>
      <c r="Y164" s="35" t="s">
        <v>403</v>
      </c>
      <c r="Z164" s="35" t="s">
        <v>339</v>
      </c>
      <c r="AA164" s="35"/>
      <c r="AB164" s="104"/>
      <c r="AC164" s="35"/>
      <c r="AD164" s="35"/>
      <c r="AE164" s="35"/>
      <c r="AF164" s="35"/>
      <c r="AG164" s="35"/>
      <c r="AH164" s="35"/>
      <c r="AI164" s="35"/>
      <c r="AJ164" s="35"/>
      <c r="AK164" s="35"/>
      <c r="AL164" s="35"/>
      <c r="AM164" s="35"/>
      <c r="AN164" s="36"/>
      <c r="AO164" s="36"/>
      <c r="AP164" s="36"/>
      <c r="AQ164" s="36"/>
      <c r="AR164" s="36"/>
      <c r="AS164" s="36"/>
      <c r="AT164" s="36"/>
      <c r="AU164" s="36"/>
      <c r="AV164" s="36"/>
      <c r="AW164" s="36"/>
      <c r="AX164" s="36"/>
      <c r="AY164" s="36"/>
      <c r="AZ164" s="36"/>
      <c r="BA164" s="36"/>
      <c r="BB164" s="36"/>
      <c r="BC164" s="36"/>
      <c r="BD164" s="36"/>
      <c r="BE164" s="36"/>
    </row>
    <row r="165" spans="2:57" s="30" customFormat="1" ht="15" x14ac:dyDescent="0.2">
      <c r="B165" s="76" t="s">
        <v>342</v>
      </c>
      <c r="C165" s="471" t="s">
        <v>298</v>
      </c>
      <c r="D165" s="472"/>
      <c r="E165" s="472"/>
      <c r="F165" s="472"/>
      <c r="G165" s="473"/>
      <c r="H165" s="165"/>
      <c r="J165" s="32"/>
      <c r="K165" s="37"/>
      <c r="L165" s="37"/>
      <c r="M165" s="40"/>
      <c r="N165" s="40"/>
      <c r="O165" s="259"/>
      <c r="Q165" s="45"/>
      <c r="R165" s="104"/>
      <c r="S165" s="35"/>
      <c r="T165" s="46" t="str">
        <f>IFERROR(IF(ISNUMBER(L164),"Kohdetieto",VLOOKUP(C165,Kalusto!$C$45:$L$84,7,FALSE)),"--")</f>
        <v>--</v>
      </c>
      <c r="U165" s="46" t="str">
        <f>IFERROR(IF(ISNUMBER(L164),"Kohdetieto",VLOOKUP(C165,Kalusto!$C$45:$L$84,8,FALSE)),"--")</f>
        <v>--</v>
      </c>
      <c r="V165" s="47" t="str">
        <f>IFERROR(IF(ISNUMBER(L164),"Kohdetieto",VLOOKUP(C165,Kalusto!$C$45:$L$84,9,FALSE)),"--")</f>
        <v>--</v>
      </c>
      <c r="W165" s="47" t="str">
        <f>IFERROR(IF(ISNUMBER(L164),"Kohdetieto",VLOOKUP(C165,Kalusto!$C$45:$L$84,10,FALSE)),"--")</f>
        <v>--</v>
      </c>
      <c r="X165" s="48" t="str">
        <f>IF(ISBLANK(C163),"",C163/1000)</f>
        <v/>
      </c>
      <c r="Y165" s="46" t="str">
        <f>IF(ISNUMBER(G164),G164,"")</f>
        <v/>
      </c>
      <c r="Z165" s="49" t="str">
        <f>IF(ISNUMBER(L164),L164,K164)</f>
        <v>--</v>
      </c>
      <c r="AA165" s="35"/>
      <c r="AB165" s="104"/>
      <c r="AC165" s="35"/>
      <c r="AD165" s="35"/>
      <c r="AE165" s="35"/>
      <c r="AF165" s="35"/>
      <c r="AG165" s="35"/>
      <c r="AH165" s="35"/>
      <c r="AI165" s="35"/>
      <c r="AJ165" s="35"/>
      <c r="AK165" s="35"/>
      <c r="AL165" s="35"/>
      <c r="AM165" s="35"/>
      <c r="AN165" s="36"/>
      <c r="AO165" s="36"/>
      <c r="AP165" s="36"/>
      <c r="AQ165" s="36"/>
      <c r="AR165" s="36"/>
      <c r="AS165" s="36"/>
      <c r="AT165" s="36"/>
      <c r="AU165" s="36"/>
      <c r="AV165" s="36"/>
      <c r="AW165" s="36"/>
      <c r="AX165" s="36"/>
      <c r="AY165" s="36"/>
      <c r="AZ165" s="36"/>
      <c r="BA165" s="36"/>
      <c r="BB165" s="36"/>
      <c r="BC165" s="36"/>
      <c r="BD165" s="36"/>
      <c r="BE165" s="36"/>
    </row>
    <row r="166" spans="2:57" s="30" customFormat="1" ht="15" x14ac:dyDescent="0.2">
      <c r="B166" s="76" t="s">
        <v>457</v>
      </c>
      <c r="C166" s="156" t="s">
        <v>309</v>
      </c>
      <c r="D166" s="33"/>
      <c r="E166" s="33"/>
      <c r="F166" s="33"/>
      <c r="G166" s="33"/>
      <c r="H166" s="57"/>
      <c r="J166" s="169"/>
      <c r="K166" s="37" t="s">
        <v>297</v>
      </c>
      <c r="L166" s="37" t="s">
        <v>185</v>
      </c>
      <c r="M166" s="40"/>
      <c r="N166" s="40"/>
      <c r="O166" s="259"/>
      <c r="Q166" s="45"/>
      <c r="R166" s="35"/>
      <c r="S166" s="35"/>
      <c r="T166" s="35"/>
      <c r="U166" s="35"/>
      <c r="V166" s="177"/>
      <c r="W166" s="177"/>
      <c r="X166" s="59"/>
      <c r="Y166" s="35"/>
      <c r="Z166" s="59"/>
      <c r="AA166" s="178"/>
      <c r="AB166" s="59"/>
      <c r="AC166" s="59"/>
      <c r="AD166" s="59"/>
      <c r="AE166" s="59"/>
      <c r="AF166" s="178"/>
      <c r="AG166" s="59"/>
      <c r="AH166" s="35"/>
      <c r="AI166" s="35"/>
      <c r="AJ166" s="35"/>
      <c r="AK166" s="104"/>
      <c r="AL166" s="35"/>
      <c r="AM166" s="35"/>
      <c r="AN166" s="36"/>
      <c r="AO166" s="36"/>
      <c r="AP166" s="36"/>
      <c r="AQ166" s="36"/>
      <c r="AR166" s="36"/>
      <c r="AS166" s="36"/>
      <c r="AT166" s="36"/>
      <c r="AU166" s="36"/>
      <c r="AV166" s="36"/>
      <c r="AW166" s="36"/>
      <c r="AX166" s="36"/>
      <c r="AY166" s="36"/>
      <c r="AZ166" s="36"/>
      <c r="BA166" s="36"/>
      <c r="BB166" s="36"/>
      <c r="BC166" s="36"/>
      <c r="BD166" s="36"/>
      <c r="BE166" s="36"/>
    </row>
    <row r="167" spans="2:57" s="30" customFormat="1" ht="15" x14ac:dyDescent="0.2">
      <c r="B167" s="151" t="s">
        <v>491</v>
      </c>
      <c r="C167" s="474" t="s">
        <v>739</v>
      </c>
      <c r="D167" s="474"/>
      <c r="G167" s="152"/>
      <c r="H167" s="81" t="s">
        <v>5</v>
      </c>
      <c r="J167" s="32" t="str">
        <f>IFERROR(VLOOKUP(C167,Kalusto!$B$107:$C$110,2,FALSE),"Valitse kuljetustapa")</f>
        <v>Valitse kuljetustapa</v>
      </c>
      <c r="K167" s="92" t="str">
        <f>IFERROR(IF(ISNUMBER(L167),L167,VLOOKUP(J167,Kalusto!$C$107:$G$110,5,FALSE)),"--")</f>
        <v>--</v>
      </c>
      <c r="L167" s="39"/>
      <c r="M167" s="40" t="s">
        <v>184</v>
      </c>
      <c r="N167" s="40"/>
      <c r="O167" s="259"/>
      <c r="Q167" s="34"/>
      <c r="R167" s="48" t="str">
        <f>IF(AND(ISNUMBER(G167)*ISNUMBER(C163)),K167*G167*X165,"")</f>
        <v/>
      </c>
      <c r="S167" s="98" t="s">
        <v>160</v>
      </c>
      <c r="T167" s="35"/>
      <c r="U167" s="35"/>
      <c r="V167" s="35"/>
      <c r="W167" s="35"/>
      <c r="X167" s="35"/>
      <c r="Y167" s="35"/>
      <c r="Z167" s="35"/>
      <c r="AA167" s="35"/>
      <c r="AB167" s="104"/>
      <c r="AC167" s="35"/>
      <c r="AD167" s="35"/>
      <c r="AE167" s="35"/>
      <c r="AF167" s="35"/>
      <c r="AG167" s="35"/>
      <c r="AH167" s="35"/>
      <c r="AI167" s="35"/>
      <c r="AJ167" s="35"/>
      <c r="AK167" s="35"/>
      <c r="AL167" s="35"/>
      <c r="AM167" s="35"/>
      <c r="AN167" s="36"/>
      <c r="AO167" s="36"/>
      <c r="AP167" s="36"/>
      <c r="AQ167" s="36"/>
      <c r="AR167" s="36"/>
      <c r="AS167" s="36"/>
      <c r="AT167" s="36"/>
      <c r="AU167" s="36"/>
      <c r="AV167" s="36"/>
      <c r="AW167" s="36"/>
      <c r="AX167" s="36"/>
      <c r="AY167" s="36"/>
      <c r="AZ167" s="36"/>
      <c r="BA167" s="36"/>
      <c r="BB167" s="36"/>
      <c r="BC167" s="36"/>
      <c r="BD167" s="36"/>
      <c r="BE167" s="36"/>
    </row>
    <row r="168" spans="2:57" s="30" customFormat="1" ht="15" x14ac:dyDescent="0.2">
      <c r="B168" s="151" t="s">
        <v>491</v>
      </c>
      <c r="C168" s="474" t="s">
        <v>739</v>
      </c>
      <c r="D168" s="474"/>
      <c r="G168" s="152"/>
      <c r="H168" s="81" t="s">
        <v>5</v>
      </c>
      <c r="J168" s="32" t="str">
        <f>IFERROR(VLOOKUP(C168,Kalusto!$B$107:$C$110,2,FALSE),"Valitse kuljetustapa")</f>
        <v>Valitse kuljetustapa</v>
      </c>
      <c r="K168" s="92" t="str">
        <f>IFERROR(IF(ISNUMBER(L168),L168,VLOOKUP(J168,Kalusto!$C$107:$G$110,5,FALSE)),"--")</f>
        <v>--</v>
      </c>
      <c r="L168" s="39"/>
      <c r="M168" s="40" t="s">
        <v>184</v>
      </c>
      <c r="N168" s="40"/>
      <c r="O168" s="259"/>
      <c r="Q168" s="34"/>
      <c r="R168" s="48" t="str">
        <f>IF(AND(ISNUMBER(G168)*ISNUMBER(C163)),K168*G168*X165,"")</f>
        <v/>
      </c>
      <c r="S168" s="98" t="s">
        <v>160</v>
      </c>
      <c r="T168" s="35"/>
      <c r="U168" s="35"/>
      <c r="V168" s="35"/>
      <c r="W168" s="35"/>
      <c r="X168" s="35"/>
      <c r="Y168" s="35"/>
      <c r="Z168" s="35"/>
      <c r="AA168" s="35"/>
      <c r="AB168" s="104"/>
      <c r="AC168" s="35"/>
      <c r="AD168" s="35"/>
      <c r="AE168" s="35"/>
      <c r="AF168" s="35"/>
      <c r="AG168" s="35"/>
      <c r="AH168" s="35"/>
      <c r="AI168" s="35"/>
      <c r="AJ168" s="35"/>
      <c r="AK168" s="35"/>
      <c r="AL168" s="35"/>
      <c r="AM168" s="35"/>
      <c r="AN168" s="36"/>
      <c r="AO168" s="36"/>
      <c r="AP168" s="36"/>
      <c r="AQ168" s="36"/>
      <c r="AR168" s="36"/>
      <c r="AS168" s="36"/>
      <c r="AT168" s="36"/>
      <c r="AU168" s="36"/>
      <c r="AV168" s="36"/>
      <c r="AW168" s="36"/>
      <c r="AX168" s="36"/>
      <c r="AY168" s="36"/>
      <c r="AZ168" s="36"/>
      <c r="BA168" s="36"/>
      <c r="BB168" s="36"/>
      <c r="BC168" s="36"/>
      <c r="BD168" s="36"/>
      <c r="BE168" s="36"/>
    </row>
    <row r="169" spans="2:57" s="30" customFormat="1" ht="15" x14ac:dyDescent="0.2">
      <c r="B169" s="151" t="s">
        <v>491</v>
      </c>
      <c r="C169" s="474" t="s">
        <v>739</v>
      </c>
      <c r="D169" s="474"/>
      <c r="G169" s="152"/>
      <c r="H169" s="81" t="s">
        <v>5</v>
      </c>
      <c r="J169" s="32" t="str">
        <f>IFERROR(VLOOKUP(C169,Kalusto!$B$107:$C$110,2,FALSE),"Valitse kuljetustapa")</f>
        <v>Valitse kuljetustapa</v>
      </c>
      <c r="K169" s="92" t="str">
        <f>IFERROR(IF(ISNUMBER(L169),L169,VLOOKUP(J169,Kalusto!$C$107:$G$110,5,FALSE)),"--")</f>
        <v>--</v>
      </c>
      <c r="L169" s="39"/>
      <c r="M169" s="40" t="s">
        <v>184</v>
      </c>
      <c r="N169" s="40"/>
      <c r="O169" s="259"/>
      <c r="Q169" s="34"/>
      <c r="R169" s="48" t="str">
        <f>IF(AND(ISNUMBER(G169)*ISNUMBER(C163)),K169*G169*X165,"")</f>
        <v/>
      </c>
      <c r="S169" s="98" t="s">
        <v>160</v>
      </c>
      <c r="T169" s="35"/>
      <c r="U169" s="35"/>
      <c r="V169" s="35"/>
      <c r="W169" s="35"/>
      <c r="X169" s="35"/>
      <c r="Y169" s="35"/>
      <c r="Z169" s="35"/>
      <c r="AA169" s="35"/>
      <c r="AB169" s="104"/>
      <c r="AC169" s="35"/>
      <c r="AD169" s="35"/>
      <c r="AE169" s="35"/>
      <c r="AF169" s="35"/>
      <c r="AG169" s="35"/>
      <c r="AH169" s="35"/>
      <c r="AI169" s="35"/>
      <c r="AJ169" s="35"/>
      <c r="AK169" s="35"/>
      <c r="AL169" s="35"/>
      <c r="AM169" s="35"/>
      <c r="AN169" s="36"/>
      <c r="AO169" s="36"/>
      <c r="AP169" s="36"/>
      <c r="AQ169" s="36"/>
      <c r="AR169" s="36"/>
      <c r="AS169" s="36"/>
      <c r="AT169" s="36"/>
      <c r="AU169" s="36"/>
      <c r="AV169" s="36"/>
      <c r="AW169" s="36"/>
      <c r="AX169" s="36"/>
      <c r="AY169" s="36"/>
      <c r="AZ169" s="36"/>
      <c r="BA169" s="36"/>
      <c r="BB169" s="36"/>
      <c r="BC169" s="36"/>
      <c r="BD169" s="36"/>
      <c r="BE169" s="36"/>
    </row>
    <row r="170" spans="2:57" s="30" customFormat="1" ht="15.75" x14ac:dyDescent="0.2">
      <c r="B170" s="8" t="str">
        <f>B134</f>
        <v>Kemikaali-, tuote- tai materiaalilaji 4</v>
      </c>
      <c r="C170" s="33"/>
      <c r="D170" s="81"/>
      <c r="G170" s="70"/>
      <c r="H170" s="81"/>
      <c r="J170" s="32"/>
      <c r="K170" s="33"/>
      <c r="L170" s="33"/>
      <c r="M170" s="81"/>
      <c r="N170" s="81"/>
      <c r="O170" s="96"/>
      <c r="Q170" s="34"/>
      <c r="R170" s="35" t="s">
        <v>318</v>
      </c>
      <c r="S170" s="35"/>
      <c r="T170" s="35"/>
      <c r="U170" s="35"/>
      <c r="V170" s="35"/>
      <c r="W170" s="35"/>
      <c r="X170" s="35"/>
      <c r="Y170" s="35"/>
      <c r="Z170" s="35"/>
      <c r="AA170" s="35"/>
      <c r="AB170" s="104"/>
      <c r="AC170" s="35"/>
      <c r="AD170" s="35"/>
      <c r="AE170" s="35"/>
      <c r="AF170" s="35"/>
      <c r="AG170" s="35"/>
      <c r="AH170" s="35"/>
      <c r="AI170" s="35"/>
      <c r="AJ170" s="35"/>
      <c r="AK170" s="35"/>
      <c r="AL170" s="35"/>
      <c r="AM170" s="35"/>
      <c r="AN170" s="36"/>
      <c r="AO170" s="36"/>
      <c r="AP170" s="36"/>
      <c r="AQ170" s="36"/>
      <c r="AR170" s="36"/>
      <c r="AS170" s="36"/>
      <c r="AT170" s="36"/>
      <c r="AU170" s="36"/>
      <c r="AV170" s="36"/>
      <c r="AW170" s="36"/>
      <c r="AX170" s="36"/>
      <c r="AY170" s="36"/>
      <c r="AZ170" s="36"/>
      <c r="BA170" s="36"/>
      <c r="BB170" s="36"/>
      <c r="BC170" s="36"/>
      <c r="BD170" s="36"/>
      <c r="BE170" s="36"/>
    </row>
    <row r="171" spans="2:57" s="30" customFormat="1" ht="15" x14ac:dyDescent="0.2">
      <c r="B171" s="52" t="s">
        <v>340</v>
      </c>
      <c r="C171" s="152"/>
      <c r="D171" s="81" t="s">
        <v>252</v>
      </c>
      <c r="G171" s="33"/>
      <c r="H171" s="81"/>
      <c r="J171" s="32"/>
      <c r="K171" s="37" t="s">
        <v>297</v>
      </c>
      <c r="L171" s="37" t="s">
        <v>185</v>
      </c>
      <c r="M171" s="81"/>
      <c r="N171" s="81"/>
      <c r="O171" s="96"/>
      <c r="Q171" s="34"/>
      <c r="R171" s="48" t="str">
        <f>IF(AND(ISNUMBER(G172),ISNUMBER(C171)),SUM(R172,R175:R177),"")</f>
        <v/>
      </c>
      <c r="S171" s="98" t="s">
        <v>160</v>
      </c>
      <c r="T171" s="35"/>
      <c r="U171" s="35"/>
      <c r="V171" s="35"/>
      <c r="W171" s="35"/>
      <c r="X171" s="35"/>
      <c r="Y171" s="35"/>
      <c r="Z171" s="35"/>
      <c r="AA171" s="35"/>
      <c r="AB171" s="104"/>
      <c r="AC171" s="35"/>
      <c r="AD171" s="35"/>
      <c r="AE171" s="35"/>
      <c r="AF171" s="35"/>
      <c r="AG171" s="35"/>
      <c r="AH171" s="35"/>
      <c r="AI171" s="35"/>
      <c r="AJ171" s="35"/>
      <c r="AK171" s="35"/>
      <c r="AL171" s="35"/>
      <c r="AM171" s="35"/>
      <c r="AN171" s="36"/>
      <c r="AO171" s="36"/>
      <c r="AP171" s="36"/>
      <c r="AQ171" s="36"/>
      <c r="AR171" s="36"/>
      <c r="AS171" s="36"/>
      <c r="AT171" s="36"/>
      <c r="AU171" s="36"/>
      <c r="AV171" s="36"/>
      <c r="AW171" s="36"/>
      <c r="AX171" s="36"/>
      <c r="AY171" s="36"/>
      <c r="AZ171" s="36"/>
      <c r="BA171" s="36"/>
      <c r="BB171" s="36"/>
      <c r="BC171" s="36"/>
      <c r="BD171" s="36"/>
      <c r="BE171" s="36"/>
    </row>
    <row r="172" spans="2:57" s="30" customFormat="1" ht="30" x14ac:dyDescent="0.2">
      <c r="B172" s="151" t="s">
        <v>660</v>
      </c>
      <c r="C172" s="475" t="s">
        <v>253</v>
      </c>
      <c r="D172" s="476"/>
      <c r="G172" s="152"/>
      <c r="H172" s="81" t="s">
        <v>5</v>
      </c>
      <c r="J172" s="169" t="s">
        <v>395</v>
      </c>
      <c r="K172" s="92" t="str">
        <f>IFERROR(IF(ISNUMBER(L172),L172,(VLOOKUP(C173,Kalusto!$C$45:$G$84,5,FALSE)*(VLOOKUP(C174,Muut!$D$40:$E$43,2,FALSE)))),"--")</f>
        <v>--</v>
      </c>
      <c r="L172" s="39"/>
      <c r="M172" s="40" t="s">
        <v>184</v>
      </c>
      <c r="N172" s="40"/>
      <c r="O172" s="259"/>
      <c r="Q172" s="34"/>
      <c r="R172" s="48" t="str">
        <f>IF(ISNUMBER(Y173*X173*K172),Y173*X173*K172,"")</f>
        <v/>
      </c>
      <c r="S172" s="98" t="s">
        <v>160</v>
      </c>
      <c r="T172" s="35" t="s">
        <v>400</v>
      </c>
      <c r="U172" s="35" t="s">
        <v>349</v>
      </c>
      <c r="V172" s="35" t="s">
        <v>397</v>
      </c>
      <c r="W172" s="35" t="s">
        <v>398</v>
      </c>
      <c r="X172" s="35" t="s">
        <v>401</v>
      </c>
      <c r="Y172" s="35" t="s">
        <v>403</v>
      </c>
      <c r="Z172" s="35" t="s">
        <v>339</v>
      </c>
      <c r="AA172" s="35"/>
      <c r="AB172" s="104"/>
      <c r="AC172" s="35"/>
      <c r="AD172" s="35"/>
      <c r="AE172" s="35"/>
      <c r="AF172" s="35"/>
      <c r="AG172" s="35"/>
      <c r="AH172" s="35"/>
      <c r="AI172" s="35"/>
      <c r="AJ172" s="35"/>
      <c r="AK172" s="35"/>
      <c r="AL172" s="35"/>
      <c r="AM172" s="35"/>
      <c r="AN172" s="36"/>
      <c r="AO172" s="36"/>
      <c r="AP172" s="36"/>
      <c r="AQ172" s="36"/>
      <c r="AR172" s="36"/>
      <c r="AS172" s="36"/>
      <c r="AT172" s="36"/>
      <c r="AU172" s="36"/>
      <c r="AV172" s="36"/>
      <c r="AW172" s="36"/>
      <c r="AX172" s="36"/>
      <c r="AY172" s="36"/>
      <c r="AZ172" s="36"/>
      <c r="BA172" s="36"/>
      <c r="BB172" s="36"/>
      <c r="BC172" s="36"/>
      <c r="BD172" s="36"/>
      <c r="BE172" s="36"/>
    </row>
    <row r="173" spans="2:57" s="30" customFormat="1" ht="15" x14ac:dyDescent="0.2">
      <c r="B173" s="76" t="s">
        <v>342</v>
      </c>
      <c r="C173" s="471" t="s">
        <v>298</v>
      </c>
      <c r="D173" s="472"/>
      <c r="E173" s="472"/>
      <c r="F173" s="472"/>
      <c r="G173" s="473"/>
      <c r="J173" s="32"/>
      <c r="K173" s="37"/>
      <c r="L173" s="37"/>
      <c r="M173" s="40"/>
      <c r="N173" s="40"/>
      <c r="O173" s="259"/>
      <c r="Q173" s="45"/>
      <c r="R173" s="104"/>
      <c r="S173" s="35"/>
      <c r="T173" s="46" t="str">
        <f>IFERROR(IF(ISNUMBER(L172),"Kohdetieto",VLOOKUP(C173,Kalusto!$C$45:$L$84,7,FALSE)),"--")</f>
        <v>--</v>
      </c>
      <c r="U173" s="46" t="str">
        <f>IFERROR(IF(ISNUMBER(L172),"Kohdetieto",VLOOKUP(C173,Kalusto!$C$45:$L$84,8,FALSE)),"--")</f>
        <v>--</v>
      </c>
      <c r="V173" s="47" t="str">
        <f>IFERROR(IF(ISNUMBER(L172),"Kohdetieto",VLOOKUP(C173,Kalusto!$C$45:$L$84,9,FALSE)),"--")</f>
        <v>--</v>
      </c>
      <c r="W173" s="47" t="str">
        <f>IFERROR(IF(ISNUMBER(L172),"Kohdetieto",VLOOKUP(C173,Kalusto!$C$45:$L$84,10,FALSE)),"--")</f>
        <v>--</v>
      </c>
      <c r="X173" s="48" t="str">
        <f>IF(ISBLANK(C171),"",C171/1000)</f>
        <v/>
      </c>
      <c r="Y173" s="46" t="str">
        <f>IF(ISNUMBER(G172),G172,"")</f>
        <v/>
      </c>
      <c r="Z173" s="49" t="str">
        <f>IF(ISNUMBER(L172),L172,K172)</f>
        <v>--</v>
      </c>
      <c r="AA173" s="35"/>
      <c r="AB173" s="104"/>
      <c r="AC173" s="35"/>
      <c r="AD173" s="35"/>
      <c r="AE173" s="35"/>
      <c r="AF173" s="35"/>
      <c r="AG173" s="35"/>
      <c r="AH173" s="35"/>
      <c r="AI173" s="35"/>
      <c r="AJ173" s="35"/>
      <c r="AK173" s="35"/>
      <c r="AL173" s="35"/>
      <c r="AM173" s="35"/>
      <c r="AN173" s="36"/>
      <c r="AO173" s="36"/>
      <c r="AP173" s="36"/>
      <c r="AQ173" s="36"/>
      <c r="AR173" s="36"/>
      <c r="AS173" s="36"/>
      <c r="AT173" s="36"/>
      <c r="AU173" s="36"/>
      <c r="AV173" s="36"/>
      <c r="AW173" s="36"/>
      <c r="AX173" s="36"/>
      <c r="AY173" s="36"/>
      <c r="AZ173" s="36"/>
      <c r="BA173" s="36"/>
      <c r="BB173" s="36"/>
      <c r="BC173" s="36"/>
      <c r="BD173" s="36"/>
      <c r="BE173" s="36"/>
    </row>
    <row r="174" spans="2:57" s="30" customFormat="1" ht="15" x14ac:dyDescent="0.2">
      <c r="B174" s="76" t="s">
        <v>457</v>
      </c>
      <c r="C174" s="156" t="s">
        <v>309</v>
      </c>
      <c r="D174" s="33"/>
      <c r="E174" s="33"/>
      <c r="F174" s="33"/>
      <c r="G174" s="33"/>
      <c r="H174" s="57"/>
      <c r="J174" s="169"/>
      <c r="K174" s="37" t="s">
        <v>297</v>
      </c>
      <c r="L174" s="37" t="s">
        <v>185</v>
      </c>
      <c r="M174" s="40"/>
      <c r="N174" s="40"/>
      <c r="O174" s="259"/>
      <c r="Q174" s="45"/>
      <c r="R174" s="35"/>
      <c r="S174" s="35"/>
      <c r="T174" s="35"/>
      <c r="U174" s="35"/>
      <c r="V174" s="177"/>
      <c r="W174" s="177"/>
      <c r="X174" s="59"/>
      <c r="Y174" s="35"/>
      <c r="Z174" s="59"/>
      <c r="AA174" s="178"/>
      <c r="AB174" s="59"/>
      <c r="AC174" s="59"/>
      <c r="AD174" s="59"/>
      <c r="AE174" s="59"/>
      <c r="AF174" s="178"/>
      <c r="AG174" s="59"/>
      <c r="AH174" s="35"/>
      <c r="AI174" s="35"/>
      <c r="AJ174" s="35"/>
      <c r="AK174" s="104"/>
      <c r="AL174" s="35"/>
      <c r="AM174" s="35"/>
      <c r="AN174" s="36"/>
      <c r="AO174" s="36"/>
      <c r="AP174" s="36"/>
      <c r="AQ174" s="36"/>
      <c r="AR174" s="36"/>
      <c r="AS174" s="36"/>
      <c r="AT174" s="36"/>
      <c r="AU174" s="36"/>
      <c r="AV174" s="36"/>
      <c r="AW174" s="36"/>
      <c r="AX174" s="36"/>
      <c r="AY174" s="36"/>
      <c r="AZ174" s="36"/>
      <c r="BA174" s="36"/>
      <c r="BB174" s="36"/>
      <c r="BC174" s="36"/>
      <c r="BD174" s="36"/>
      <c r="BE174" s="36"/>
    </row>
    <row r="175" spans="2:57" s="30" customFormat="1" ht="15" x14ac:dyDescent="0.2">
      <c r="B175" s="151" t="s">
        <v>492</v>
      </c>
      <c r="C175" s="474" t="s">
        <v>739</v>
      </c>
      <c r="D175" s="474"/>
      <c r="G175" s="152"/>
      <c r="H175" s="81" t="s">
        <v>5</v>
      </c>
      <c r="J175" s="32" t="str">
        <f>IFERROR(VLOOKUP(C175,Kalusto!$B$107:$C$110,2,FALSE),"Valitse kuljetustapa")</f>
        <v>Valitse kuljetustapa</v>
      </c>
      <c r="K175" s="92" t="str">
        <f>IFERROR(IF(ISNUMBER(L175),L175,VLOOKUP(J175,Kalusto!$C$107:$G$110,5,FALSE)),"--")</f>
        <v>--</v>
      </c>
      <c r="L175" s="39"/>
      <c r="M175" s="40" t="s">
        <v>184</v>
      </c>
      <c r="N175" s="40"/>
      <c r="O175" s="259"/>
      <c r="Q175" s="34"/>
      <c r="R175" s="48" t="str">
        <f>IF(AND(ISNUMBER(G175)*ISNUMBER(C171)),K175*G175*X173,"")</f>
        <v/>
      </c>
      <c r="S175" s="98" t="s">
        <v>160</v>
      </c>
      <c r="T175" s="35"/>
      <c r="U175" s="35"/>
      <c r="V175" s="35"/>
      <c r="W175" s="35"/>
      <c r="X175" s="35"/>
      <c r="Y175" s="35"/>
      <c r="Z175" s="35"/>
      <c r="AA175" s="35"/>
      <c r="AB175" s="104"/>
      <c r="AC175" s="35"/>
      <c r="AD175" s="35"/>
      <c r="AE175" s="35"/>
      <c r="AF175" s="35"/>
      <c r="AG175" s="35"/>
      <c r="AH175" s="35"/>
      <c r="AI175" s="35"/>
      <c r="AJ175" s="35"/>
      <c r="AK175" s="35"/>
      <c r="AL175" s="35"/>
      <c r="AM175" s="35"/>
      <c r="AN175" s="36"/>
      <c r="AO175" s="36"/>
      <c r="AP175" s="36"/>
      <c r="AQ175" s="36"/>
      <c r="AR175" s="36"/>
      <c r="AS175" s="36"/>
      <c r="AT175" s="36"/>
      <c r="AU175" s="36"/>
      <c r="AV175" s="36"/>
      <c r="AW175" s="36"/>
      <c r="AX175" s="36"/>
      <c r="AY175" s="36"/>
      <c r="AZ175" s="36"/>
      <c r="BA175" s="36"/>
      <c r="BB175" s="36"/>
      <c r="BC175" s="36"/>
      <c r="BD175" s="36"/>
      <c r="BE175" s="36"/>
    </row>
    <row r="176" spans="2:57" s="30" customFormat="1" ht="15" x14ac:dyDescent="0.2">
      <c r="B176" s="151" t="s">
        <v>492</v>
      </c>
      <c r="C176" s="474" t="s">
        <v>739</v>
      </c>
      <c r="D176" s="474"/>
      <c r="G176" s="152"/>
      <c r="H176" s="81" t="s">
        <v>5</v>
      </c>
      <c r="J176" s="32" t="str">
        <f>IFERROR(VLOOKUP(C176,Kalusto!$B$107:$C$110,2,FALSE),"Valitse kuljetustapa")</f>
        <v>Valitse kuljetustapa</v>
      </c>
      <c r="K176" s="92" t="str">
        <f>IFERROR(IF(ISNUMBER(L176),L176,VLOOKUP(J176,Kalusto!$C$107:$G$110,5,FALSE)),"--")</f>
        <v>--</v>
      </c>
      <c r="L176" s="39"/>
      <c r="M176" s="40" t="s">
        <v>184</v>
      </c>
      <c r="N176" s="40"/>
      <c r="O176" s="259"/>
      <c r="Q176" s="34"/>
      <c r="R176" s="48" t="str">
        <f>IF(AND(ISNUMBER(G176)*ISNUMBER(C171)),K176*G176*X173,"")</f>
        <v/>
      </c>
      <c r="S176" s="98" t="s">
        <v>160</v>
      </c>
      <c r="T176" s="35"/>
      <c r="U176" s="35"/>
      <c r="V176" s="35"/>
      <c r="W176" s="35"/>
      <c r="X176" s="35"/>
      <c r="Y176" s="35"/>
      <c r="Z176" s="35"/>
      <c r="AA176" s="35"/>
      <c r="AB176" s="104"/>
      <c r="AC176" s="35"/>
      <c r="AD176" s="35"/>
      <c r="AE176" s="35"/>
      <c r="AF176" s="35"/>
      <c r="AG176" s="35"/>
      <c r="AH176" s="35"/>
      <c r="AI176" s="35"/>
      <c r="AJ176" s="35"/>
      <c r="AK176" s="35"/>
      <c r="AL176" s="35"/>
      <c r="AM176" s="35"/>
      <c r="AN176" s="36"/>
      <c r="AO176" s="36"/>
      <c r="AP176" s="36"/>
      <c r="AQ176" s="36"/>
      <c r="AR176" s="36"/>
      <c r="AS176" s="36"/>
      <c r="AT176" s="36"/>
      <c r="AU176" s="36"/>
      <c r="AV176" s="36"/>
      <c r="AW176" s="36"/>
      <c r="AX176" s="36"/>
      <c r="AY176" s="36"/>
      <c r="AZ176" s="36"/>
      <c r="BA176" s="36"/>
      <c r="BB176" s="36"/>
      <c r="BC176" s="36"/>
      <c r="BD176" s="36"/>
      <c r="BE176" s="36"/>
    </row>
    <row r="177" spans="2:57" s="30" customFormat="1" ht="15" x14ac:dyDescent="0.2">
      <c r="B177" s="151" t="s">
        <v>492</v>
      </c>
      <c r="C177" s="474" t="s">
        <v>739</v>
      </c>
      <c r="D177" s="474"/>
      <c r="G177" s="152"/>
      <c r="H177" s="81" t="s">
        <v>5</v>
      </c>
      <c r="J177" s="32" t="str">
        <f>IFERROR(VLOOKUP(C177,Kalusto!$B$107:$C$110,2,FALSE),"Valitse kuljetustapa")</f>
        <v>Valitse kuljetustapa</v>
      </c>
      <c r="K177" s="92" t="str">
        <f>IFERROR(IF(ISNUMBER(L177),L177,VLOOKUP(J177,Kalusto!$C$107:$G$110,5,FALSE)),"--")</f>
        <v>--</v>
      </c>
      <c r="L177" s="39"/>
      <c r="M177" s="40" t="s">
        <v>184</v>
      </c>
      <c r="N177" s="40"/>
      <c r="O177" s="259"/>
      <c r="Q177" s="34"/>
      <c r="R177" s="48" t="str">
        <f>IF(AND(ISNUMBER(G177)*ISNUMBER(C171)),K177*G177*X173,"")</f>
        <v/>
      </c>
      <c r="S177" s="98" t="s">
        <v>160</v>
      </c>
      <c r="T177" s="35"/>
      <c r="U177" s="35"/>
      <c r="V177" s="35"/>
      <c r="W177" s="35"/>
      <c r="X177" s="35"/>
      <c r="Y177" s="35"/>
      <c r="Z177" s="35"/>
      <c r="AA177" s="35"/>
      <c r="AB177" s="104"/>
      <c r="AC177" s="35"/>
      <c r="AD177" s="35"/>
      <c r="AE177" s="35"/>
      <c r="AF177" s="35"/>
      <c r="AG177" s="35"/>
      <c r="AH177" s="35"/>
      <c r="AI177" s="35"/>
      <c r="AJ177" s="35"/>
      <c r="AK177" s="35"/>
      <c r="AL177" s="35"/>
      <c r="AM177" s="35"/>
      <c r="AN177" s="36"/>
      <c r="AO177" s="36"/>
      <c r="AP177" s="36"/>
      <c r="AQ177" s="36"/>
      <c r="AR177" s="36"/>
      <c r="AS177" s="36"/>
      <c r="AT177" s="36"/>
      <c r="AU177" s="36"/>
      <c r="AV177" s="36"/>
      <c r="AW177" s="36"/>
      <c r="AX177" s="36"/>
      <c r="AY177" s="36"/>
      <c r="AZ177" s="36"/>
      <c r="BA177" s="36"/>
      <c r="BB177" s="36"/>
      <c r="BC177" s="36"/>
      <c r="BD177" s="36"/>
      <c r="BE177" s="36"/>
    </row>
    <row r="178" spans="2:57" s="30" customFormat="1" ht="15.75" x14ac:dyDescent="0.2">
      <c r="B178" s="8" t="str">
        <f>B137</f>
        <v>Kemikaali-, tuote- tai materiaalilaji 5</v>
      </c>
      <c r="C178" s="33"/>
      <c r="D178" s="81"/>
      <c r="G178" s="70"/>
      <c r="H178" s="81"/>
      <c r="J178" s="32"/>
      <c r="K178" s="33"/>
      <c r="L178" s="33"/>
      <c r="M178" s="81"/>
      <c r="N178" s="81"/>
      <c r="O178" s="96"/>
      <c r="Q178" s="34"/>
      <c r="R178" s="35" t="s">
        <v>318</v>
      </c>
      <c r="S178" s="35"/>
      <c r="T178" s="35"/>
      <c r="U178" s="35"/>
      <c r="V178" s="35"/>
      <c r="W178" s="35"/>
      <c r="X178" s="35"/>
      <c r="Y178" s="35"/>
      <c r="Z178" s="35"/>
      <c r="AA178" s="35"/>
      <c r="AB178" s="104"/>
      <c r="AC178" s="35"/>
      <c r="AD178" s="35"/>
      <c r="AE178" s="35"/>
      <c r="AF178" s="35"/>
      <c r="AG178" s="35"/>
      <c r="AH178" s="35"/>
      <c r="AI178" s="35"/>
      <c r="AJ178" s="35"/>
      <c r="AK178" s="35"/>
      <c r="AL178" s="35"/>
      <c r="AM178" s="35"/>
      <c r="AN178" s="36"/>
      <c r="AO178" s="36"/>
      <c r="AP178" s="36"/>
      <c r="AQ178" s="36"/>
      <c r="AR178" s="36"/>
      <c r="AS178" s="36"/>
      <c r="AT178" s="36"/>
      <c r="AU178" s="36"/>
      <c r="AV178" s="36"/>
      <c r="AW178" s="36"/>
      <c r="AX178" s="36"/>
      <c r="AY178" s="36"/>
      <c r="AZ178" s="36"/>
      <c r="BA178" s="36"/>
      <c r="BB178" s="36"/>
      <c r="BC178" s="36"/>
      <c r="BD178" s="36"/>
      <c r="BE178" s="36"/>
    </row>
    <row r="179" spans="2:57" s="30" customFormat="1" ht="15" x14ac:dyDescent="0.2">
      <c r="B179" s="52" t="s">
        <v>256</v>
      </c>
      <c r="C179" s="152"/>
      <c r="D179" s="81" t="s">
        <v>252</v>
      </c>
      <c r="G179" s="33"/>
      <c r="H179" s="81"/>
      <c r="J179" s="32"/>
      <c r="K179" s="37" t="s">
        <v>297</v>
      </c>
      <c r="L179" s="37" t="s">
        <v>185</v>
      </c>
      <c r="M179" s="81"/>
      <c r="N179" s="81"/>
      <c r="O179" s="96"/>
      <c r="Q179" s="34"/>
      <c r="R179" s="48" t="str">
        <f>IF(AND(ISNUMBER(G180),ISNUMBER(C179)),SUM(R180,R183:R185),"")</f>
        <v/>
      </c>
      <c r="S179" s="98" t="s">
        <v>160</v>
      </c>
      <c r="T179" s="35"/>
      <c r="U179" s="35"/>
      <c r="V179" s="35"/>
      <c r="W179" s="35"/>
      <c r="X179" s="35"/>
      <c r="Y179" s="35"/>
      <c r="Z179" s="35"/>
      <c r="AA179" s="35"/>
      <c r="AB179" s="104"/>
      <c r="AC179" s="35"/>
      <c r="AD179" s="35"/>
      <c r="AE179" s="35"/>
      <c r="AF179" s="35"/>
      <c r="AG179" s="35"/>
      <c r="AH179" s="35"/>
      <c r="AI179" s="35"/>
      <c r="AJ179" s="35"/>
      <c r="AK179" s="35"/>
      <c r="AL179" s="35"/>
      <c r="AM179" s="35"/>
      <c r="AN179" s="36"/>
      <c r="AO179" s="36"/>
      <c r="AP179" s="36"/>
      <c r="AQ179" s="36"/>
      <c r="AR179" s="36"/>
      <c r="AS179" s="36"/>
      <c r="AT179" s="36"/>
      <c r="AU179" s="36"/>
      <c r="AV179" s="36"/>
      <c r="AW179" s="36"/>
      <c r="AX179" s="36"/>
      <c r="AY179" s="36"/>
      <c r="AZ179" s="36"/>
      <c r="BA179" s="36"/>
      <c r="BB179" s="36"/>
      <c r="BC179" s="36"/>
      <c r="BD179" s="36"/>
      <c r="BE179" s="36"/>
    </row>
    <row r="180" spans="2:57" s="30" customFormat="1" ht="30" x14ac:dyDescent="0.2">
      <c r="B180" s="151" t="s">
        <v>660</v>
      </c>
      <c r="C180" s="475" t="s">
        <v>253</v>
      </c>
      <c r="D180" s="476"/>
      <c r="G180" s="152"/>
      <c r="H180" s="81" t="s">
        <v>5</v>
      </c>
      <c r="J180" s="169" t="s">
        <v>395</v>
      </c>
      <c r="K180" s="92" t="str">
        <f>IFERROR(IF(ISNUMBER(L180),L180,(VLOOKUP(C181,Kalusto!$C$45:$G$84,5,FALSE)*(VLOOKUP(C182,Muut!$D$40:$E$43,2,FALSE)))),"--")</f>
        <v>--</v>
      </c>
      <c r="L180" s="39"/>
      <c r="M180" s="40" t="s">
        <v>184</v>
      </c>
      <c r="N180" s="40"/>
      <c r="O180" s="259"/>
      <c r="Q180" s="34"/>
      <c r="R180" s="48" t="str">
        <f>IF(ISNUMBER(Y181*X181*K180),Y181*X181*K180,"")</f>
        <v/>
      </c>
      <c r="S180" s="98" t="s">
        <v>160</v>
      </c>
      <c r="T180" s="35" t="s">
        <v>400</v>
      </c>
      <c r="U180" s="35" t="s">
        <v>349</v>
      </c>
      <c r="V180" s="35" t="s">
        <v>397</v>
      </c>
      <c r="W180" s="35" t="s">
        <v>398</v>
      </c>
      <c r="X180" s="35" t="s">
        <v>401</v>
      </c>
      <c r="Y180" s="35" t="s">
        <v>403</v>
      </c>
      <c r="Z180" s="35" t="s">
        <v>339</v>
      </c>
      <c r="AA180" s="35"/>
      <c r="AB180" s="104"/>
      <c r="AC180" s="35"/>
      <c r="AD180" s="35"/>
      <c r="AE180" s="35"/>
      <c r="AF180" s="35"/>
      <c r="AG180" s="35"/>
      <c r="AH180" s="35"/>
      <c r="AI180" s="35"/>
      <c r="AJ180" s="35"/>
      <c r="AK180" s="35"/>
      <c r="AL180" s="35"/>
      <c r="AM180" s="35"/>
      <c r="AN180" s="36"/>
      <c r="AO180" s="36"/>
      <c r="AP180" s="36"/>
      <c r="AQ180" s="36"/>
      <c r="AR180" s="36"/>
      <c r="AS180" s="36"/>
      <c r="AT180" s="36"/>
      <c r="AU180" s="36"/>
      <c r="AV180" s="36"/>
      <c r="AW180" s="36"/>
      <c r="AX180" s="36"/>
      <c r="AY180" s="36"/>
      <c r="AZ180" s="36"/>
      <c r="BA180" s="36"/>
      <c r="BB180" s="36"/>
      <c r="BC180" s="36"/>
      <c r="BD180" s="36"/>
      <c r="BE180" s="36"/>
    </row>
    <row r="181" spans="2:57" s="30" customFormat="1" ht="15" x14ac:dyDescent="0.2">
      <c r="B181" s="76" t="s">
        <v>342</v>
      </c>
      <c r="C181" s="471" t="s">
        <v>298</v>
      </c>
      <c r="D181" s="472"/>
      <c r="E181" s="472"/>
      <c r="F181" s="472"/>
      <c r="G181" s="473"/>
      <c r="J181" s="32"/>
      <c r="K181" s="37"/>
      <c r="L181" s="37"/>
      <c r="M181" s="40"/>
      <c r="N181" s="40"/>
      <c r="O181" s="259"/>
      <c r="Q181" s="45"/>
      <c r="R181" s="104"/>
      <c r="S181" s="35"/>
      <c r="T181" s="46" t="str">
        <f>IFERROR(IF(ISNUMBER(L180),"Kohdetieto",VLOOKUP(C181,Kalusto!$C$45:$L$84,7,FALSE)),"--")</f>
        <v>--</v>
      </c>
      <c r="U181" s="46" t="str">
        <f>IFERROR(IF(ISNUMBER(L180),"Kohdetieto",VLOOKUP(C181,Kalusto!$C$45:$L$84,8,FALSE)),"--")</f>
        <v>--</v>
      </c>
      <c r="V181" s="47" t="str">
        <f>IFERROR(IF(ISNUMBER(L180),"Kohdetieto",VLOOKUP(C181,Kalusto!$C$45:$L$84,9,FALSE)),"--")</f>
        <v>--</v>
      </c>
      <c r="W181" s="47" t="str">
        <f>IFERROR(IF(ISNUMBER(L180),"Kohdetieto",VLOOKUP(C181,Kalusto!$C$45:$L$84,10,FALSE)),"--")</f>
        <v>--</v>
      </c>
      <c r="X181" s="48" t="str">
        <f>IF(ISBLANK(C179),"",C179/1000)</f>
        <v/>
      </c>
      <c r="Y181" s="46" t="str">
        <f>IF(ISNUMBER(G180),G180,"")</f>
        <v/>
      </c>
      <c r="Z181" s="49" t="str">
        <f>IF(ISNUMBER(L180),L180,K180)</f>
        <v>--</v>
      </c>
      <c r="AA181" s="35"/>
      <c r="AB181" s="104"/>
      <c r="AC181" s="35"/>
      <c r="AD181" s="35"/>
      <c r="AE181" s="35"/>
      <c r="AF181" s="35"/>
      <c r="AG181" s="35"/>
      <c r="AH181" s="35"/>
      <c r="AI181" s="35"/>
      <c r="AJ181" s="35"/>
      <c r="AK181" s="35"/>
      <c r="AL181" s="35"/>
      <c r="AM181" s="35"/>
      <c r="AN181" s="36"/>
      <c r="AO181" s="36"/>
      <c r="AP181" s="36"/>
      <c r="AQ181" s="36"/>
      <c r="AR181" s="36"/>
      <c r="AS181" s="36"/>
      <c r="AT181" s="36"/>
      <c r="AU181" s="36"/>
      <c r="AV181" s="36"/>
      <c r="AW181" s="36"/>
      <c r="AX181" s="36"/>
      <c r="AY181" s="36"/>
      <c r="AZ181" s="36"/>
      <c r="BA181" s="36"/>
      <c r="BB181" s="36"/>
      <c r="BC181" s="36"/>
      <c r="BD181" s="36"/>
      <c r="BE181" s="36"/>
    </row>
    <row r="182" spans="2:57" s="30" customFormat="1" ht="15" x14ac:dyDescent="0.2">
      <c r="B182" s="76" t="s">
        <v>457</v>
      </c>
      <c r="C182" s="156" t="s">
        <v>309</v>
      </c>
      <c r="D182" s="33"/>
      <c r="E182" s="33"/>
      <c r="F182" s="33"/>
      <c r="G182" s="33"/>
      <c r="H182" s="57"/>
      <c r="J182" s="169"/>
      <c r="K182" s="37" t="s">
        <v>297</v>
      </c>
      <c r="L182" s="37" t="s">
        <v>185</v>
      </c>
      <c r="M182" s="40"/>
      <c r="N182" s="40"/>
      <c r="O182" s="259"/>
      <c r="Q182" s="45"/>
      <c r="R182" s="35"/>
      <c r="S182" s="35"/>
      <c r="T182" s="35"/>
      <c r="U182" s="35"/>
      <c r="V182" s="177"/>
      <c r="W182" s="177"/>
      <c r="X182" s="59"/>
      <c r="Y182" s="35"/>
      <c r="Z182" s="59"/>
      <c r="AA182" s="178"/>
      <c r="AB182" s="59"/>
      <c r="AC182" s="59"/>
      <c r="AD182" s="59"/>
      <c r="AE182" s="59"/>
      <c r="AF182" s="178"/>
      <c r="AG182" s="59"/>
      <c r="AH182" s="35"/>
      <c r="AI182" s="35"/>
      <c r="AJ182" s="35"/>
      <c r="AK182" s="104"/>
      <c r="AL182" s="35"/>
      <c r="AM182" s="35"/>
      <c r="AN182" s="36"/>
      <c r="AO182" s="36"/>
      <c r="AP182" s="36"/>
      <c r="AQ182" s="36"/>
      <c r="AR182" s="36"/>
      <c r="AS182" s="36"/>
      <c r="AT182" s="36"/>
      <c r="AU182" s="36"/>
      <c r="AV182" s="36"/>
      <c r="AW182" s="36"/>
      <c r="AX182" s="36"/>
      <c r="AY182" s="36"/>
      <c r="AZ182" s="36"/>
      <c r="BA182" s="36"/>
      <c r="BB182" s="36"/>
      <c r="BC182" s="36"/>
      <c r="BD182" s="36"/>
      <c r="BE182" s="36"/>
    </row>
    <row r="183" spans="2:57" s="30" customFormat="1" ht="15" x14ac:dyDescent="0.2">
      <c r="B183" s="151" t="s">
        <v>492</v>
      </c>
      <c r="C183" s="474" t="s">
        <v>739</v>
      </c>
      <c r="D183" s="474"/>
      <c r="G183" s="152"/>
      <c r="H183" s="81" t="s">
        <v>5</v>
      </c>
      <c r="J183" s="32" t="str">
        <f>IFERROR(VLOOKUP(C183,Kalusto!$B$107:$C$110,2,FALSE),"Valitse kuljetustapa")</f>
        <v>Valitse kuljetustapa</v>
      </c>
      <c r="K183" s="92" t="str">
        <f>IFERROR(IF(ISNUMBER(L183),L183,VLOOKUP(J183,Kalusto!$C$107:$G$110,5,FALSE)),"--")</f>
        <v>--</v>
      </c>
      <c r="L183" s="39"/>
      <c r="M183" s="40" t="s">
        <v>184</v>
      </c>
      <c r="N183" s="40"/>
      <c r="O183" s="259"/>
      <c r="Q183" s="34"/>
      <c r="R183" s="48" t="str">
        <f>IF(AND(ISNUMBER(G183)*ISNUMBER(C179)),K183*G183*X181,"")</f>
        <v/>
      </c>
      <c r="S183" s="98" t="s">
        <v>160</v>
      </c>
      <c r="T183" s="104"/>
      <c r="U183" s="35"/>
      <c r="V183" s="35"/>
      <c r="W183" s="35"/>
      <c r="X183" s="35"/>
      <c r="Y183" s="35"/>
      <c r="Z183" s="35"/>
      <c r="AA183" s="35"/>
      <c r="AB183" s="35"/>
      <c r="AC183" s="35"/>
      <c r="AD183" s="35"/>
      <c r="AE183" s="35"/>
      <c r="AF183" s="35"/>
      <c r="AG183" s="35"/>
      <c r="AH183" s="35"/>
      <c r="AI183" s="35"/>
      <c r="AJ183" s="35"/>
      <c r="AK183" s="35"/>
      <c r="AL183" s="35"/>
      <c r="AM183" s="35"/>
      <c r="AN183" s="36"/>
      <c r="AO183" s="36"/>
      <c r="AP183" s="36"/>
      <c r="AQ183" s="36"/>
      <c r="AR183" s="36"/>
      <c r="AS183" s="36"/>
      <c r="AT183" s="36"/>
      <c r="AU183" s="36"/>
      <c r="AV183" s="36"/>
      <c r="AW183" s="36"/>
      <c r="AX183" s="36"/>
      <c r="AY183" s="36"/>
      <c r="AZ183" s="36"/>
      <c r="BA183" s="36"/>
      <c r="BB183" s="36"/>
      <c r="BC183" s="36"/>
      <c r="BD183" s="36"/>
      <c r="BE183" s="36"/>
    </row>
    <row r="184" spans="2:57" s="30" customFormat="1" ht="15" x14ac:dyDescent="0.2">
      <c r="B184" s="151" t="s">
        <v>492</v>
      </c>
      <c r="C184" s="474" t="s">
        <v>739</v>
      </c>
      <c r="D184" s="474"/>
      <c r="G184" s="152"/>
      <c r="H184" s="81" t="s">
        <v>5</v>
      </c>
      <c r="J184" s="32" t="str">
        <f>IFERROR(VLOOKUP(C184,Kalusto!$B$107:$C$110,2,FALSE),"Valitse kuljetustapa")</f>
        <v>Valitse kuljetustapa</v>
      </c>
      <c r="K184" s="92" t="str">
        <f>IFERROR(IF(ISNUMBER(L184),L184,VLOOKUP(J184,Kalusto!$C$107:$G$110,5,FALSE)),"--")</f>
        <v>--</v>
      </c>
      <c r="L184" s="39"/>
      <c r="M184" s="40" t="s">
        <v>184</v>
      </c>
      <c r="N184" s="40"/>
      <c r="O184" s="259"/>
      <c r="Q184" s="34"/>
      <c r="R184" s="48" t="str">
        <f>IF(AND(ISNUMBER(G184)*ISNUMBER(C179)),K184*G184*X181,"")</f>
        <v/>
      </c>
      <c r="S184" s="98" t="s">
        <v>160</v>
      </c>
      <c r="T184" s="104"/>
      <c r="U184" s="35"/>
      <c r="V184" s="35"/>
      <c r="W184" s="35"/>
      <c r="X184" s="35"/>
      <c r="Y184" s="35"/>
      <c r="Z184" s="35"/>
      <c r="AA184" s="35"/>
      <c r="AB184" s="35"/>
      <c r="AC184" s="35"/>
      <c r="AD184" s="35"/>
      <c r="AE184" s="35"/>
      <c r="AF184" s="35"/>
      <c r="AG184" s="35"/>
      <c r="AH184" s="35"/>
      <c r="AI184" s="35"/>
      <c r="AJ184" s="35"/>
      <c r="AK184" s="35"/>
      <c r="AL184" s="35"/>
      <c r="AM184" s="35"/>
      <c r="AN184" s="36"/>
      <c r="AO184" s="36"/>
      <c r="AP184" s="36"/>
      <c r="AQ184" s="36"/>
      <c r="AR184" s="36"/>
      <c r="AS184" s="36"/>
      <c r="AT184" s="36"/>
      <c r="AU184" s="36"/>
      <c r="AV184" s="36"/>
      <c r="AW184" s="36"/>
      <c r="AX184" s="36"/>
      <c r="AY184" s="36"/>
      <c r="AZ184" s="36"/>
      <c r="BA184" s="36"/>
      <c r="BB184" s="36"/>
      <c r="BC184" s="36"/>
      <c r="BD184" s="36"/>
      <c r="BE184" s="36"/>
    </row>
    <row r="185" spans="2:57" s="30" customFormat="1" ht="15" x14ac:dyDescent="0.2">
      <c r="B185" s="151" t="s">
        <v>492</v>
      </c>
      <c r="C185" s="474" t="s">
        <v>739</v>
      </c>
      <c r="D185" s="474"/>
      <c r="G185" s="152"/>
      <c r="H185" s="81" t="s">
        <v>5</v>
      </c>
      <c r="J185" s="32" t="str">
        <f>IFERROR(VLOOKUP(C185,Kalusto!$B$107:$C$110,2,FALSE),"Valitse kuljetustapa")</f>
        <v>Valitse kuljetustapa</v>
      </c>
      <c r="K185" s="92" t="str">
        <f>IFERROR(IF(ISNUMBER(L185),L185,VLOOKUP(J185,Kalusto!$C$107:$G$110,5,FALSE)),"--")</f>
        <v>--</v>
      </c>
      <c r="L185" s="39"/>
      <c r="M185" s="40" t="s">
        <v>184</v>
      </c>
      <c r="N185" s="40"/>
      <c r="O185" s="259"/>
      <c r="Q185" s="34"/>
      <c r="R185" s="48" t="str">
        <f>IF(AND(ISNUMBER(G185)*ISNUMBER(C179)),K185*G185*X181,"")</f>
        <v/>
      </c>
      <c r="S185" s="98" t="s">
        <v>160</v>
      </c>
      <c r="T185" s="104"/>
      <c r="U185" s="35"/>
      <c r="V185" s="35"/>
      <c r="W185" s="35"/>
      <c r="X185" s="35"/>
      <c r="Y185" s="35"/>
      <c r="Z185" s="35"/>
      <c r="AA185" s="35"/>
      <c r="AB185" s="35"/>
      <c r="AC185" s="35"/>
      <c r="AD185" s="35"/>
      <c r="AE185" s="35"/>
      <c r="AF185" s="35"/>
      <c r="AG185" s="35"/>
      <c r="AH185" s="35"/>
      <c r="AI185" s="35"/>
      <c r="AJ185" s="35"/>
      <c r="AK185" s="35"/>
      <c r="AL185" s="35"/>
      <c r="AM185" s="35"/>
      <c r="AN185" s="36"/>
      <c r="AO185" s="36"/>
      <c r="AP185" s="36"/>
      <c r="AQ185" s="36"/>
      <c r="AR185" s="36"/>
      <c r="AS185" s="36"/>
      <c r="AT185" s="36"/>
      <c r="AU185" s="36"/>
      <c r="AV185" s="36"/>
      <c r="AW185" s="36"/>
      <c r="AX185" s="36"/>
      <c r="AY185" s="36"/>
      <c r="AZ185" s="36"/>
      <c r="BA185" s="36"/>
      <c r="BB185" s="36"/>
      <c r="BC185" s="36"/>
      <c r="BD185" s="36"/>
      <c r="BE185" s="36"/>
    </row>
    <row r="186" spans="2:57" s="30" customFormat="1" ht="15" x14ac:dyDescent="0.2">
      <c r="C186" s="33"/>
      <c r="D186" s="81"/>
      <c r="G186" s="33"/>
      <c r="H186" s="81"/>
      <c r="J186" s="32"/>
      <c r="K186" s="33"/>
      <c r="L186" s="33"/>
      <c r="M186" s="81"/>
      <c r="N186" s="81"/>
      <c r="O186" s="81"/>
      <c r="Q186" s="34"/>
      <c r="R186" s="95"/>
      <c r="S186" s="35"/>
      <c r="T186" s="35"/>
      <c r="U186" s="35"/>
      <c r="V186" s="35"/>
      <c r="W186" s="35"/>
      <c r="X186" s="35"/>
      <c r="Y186" s="35"/>
      <c r="Z186" s="35"/>
      <c r="AA186" s="35"/>
      <c r="AB186" s="35"/>
      <c r="AC186" s="35"/>
      <c r="AD186" s="35"/>
      <c r="AE186" s="35"/>
      <c r="AF186" s="35"/>
      <c r="AG186" s="35"/>
      <c r="AH186" s="35"/>
      <c r="AI186" s="35"/>
      <c r="AJ186" s="35"/>
      <c r="AK186" s="35"/>
      <c r="AL186" s="35"/>
      <c r="AM186" s="35"/>
      <c r="AN186" s="36"/>
      <c r="AO186" s="36"/>
      <c r="AP186" s="36"/>
      <c r="AQ186" s="36"/>
      <c r="AR186" s="36"/>
      <c r="AS186" s="36"/>
      <c r="AT186" s="36"/>
      <c r="AU186" s="36"/>
      <c r="AV186" s="36"/>
      <c r="AW186" s="36"/>
      <c r="AX186" s="36"/>
      <c r="AY186" s="36"/>
      <c r="AZ186" s="36"/>
      <c r="BA186" s="36"/>
      <c r="BB186" s="36"/>
      <c r="BC186" s="36"/>
      <c r="BD186" s="36"/>
      <c r="BE186" s="36"/>
    </row>
    <row r="187" spans="2:57" s="289" customFormat="1" ht="18" x14ac:dyDescent="0.2">
      <c r="B187" s="286" t="s">
        <v>482</v>
      </c>
      <c r="C187" s="287"/>
      <c r="D187" s="288"/>
      <c r="G187" s="287"/>
      <c r="H187" s="288"/>
      <c r="K187" s="287"/>
      <c r="L187" s="287"/>
      <c r="M187" s="288"/>
      <c r="N187" s="288"/>
      <c r="O187" s="291"/>
      <c r="P187" s="311"/>
      <c r="Q187" s="295"/>
      <c r="S187" s="294"/>
      <c r="T187" s="294"/>
      <c r="U187" s="294"/>
      <c r="V187" s="294"/>
      <c r="W187" s="294"/>
      <c r="X187" s="294"/>
      <c r="Y187" s="294"/>
      <c r="Z187" s="294"/>
      <c r="AA187" s="294"/>
      <c r="AB187" s="294"/>
      <c r="AC187" s="294"/>
      <c r="AD187" s="294"/>
      <c r="AE187" s="294"/>
      <c r="AF187" s="294"/>
      <c r="AG187" s="294"/>
      <c r="AH187" s="294"/>
      <c r="AI187" s="294"/>
      <c r="AJ187" s="294"/>
      <c r="AK187" s="294"/>
      <c r="AL187" s="294"/>
      <c r="AM187" s="294"/>
      <c r="AN187" s="295"/>
      <c r="AO187" s="295"/>
      <c r="AP187" s="295"/>
      <c r="AQ187" s="295"/>
      <c r="AR187" s="295"/>
      <c r="AS187" s="295"/>
      <c r="AT187" s="295"/>
      <c r="AU187" s="295"/>
      <c r="AV187" s="295"/>
      <c r="AW187" s="295"/>
      <c r="AX187" s="295"/>
      <c r="AY187" s="295"/>
      <c r="AZ187" s="295"/>
      <c r="BA187" s="295"/>
      <c r="BB187" s="295"/>
      <c r="BC187" s="295"/>
      <c r="BD187" s="295"/>
      <c r="BE187" s="295"/>
    </row>
    <row r="188" spans="2:57" s="30" customFormat="1" ht="15.75" x14ac:dyDescent="0.2">
      <c r="B188" s="8"/>
      <c r="C188" s="33"/>
      <c r="D188" s="81"/>
      <c r="G188" s="33"/>
      <c r="H188" s="81"/>
      <c r="J188" s="32"/>
      <c r="M188" s="81"/>
      <c r="N188" s="81"/>
      <c r="O188" s="249" t="s">
        <v>584</v>
      </c>
      <c r="Q188" s="34"/>
      <c r="R188" s="43" t="s">
        <v>318</v>
      </c>
      <c r="S188" s="35"/>
      <c r="T188" s="43"/>
      <c r="U188" s="43"/>
      <c r="V188" s="43"/>
      <c r="W188" s="43"/>
      <c r="X188" s="43"/>
      <c r="Y188" s="43"/>
      <c r="Z188" s="43"/>
      <c r="AA188" s="43"/>
      <c r="AB188" s="43"/>
      <c r="AC188" s="43"/>
      <c r="AD188" s="43"/>
      <c r="AE188" s="35"/>
      <c r="AF188" s="35"/>
      <c r="AG188" s="35"/>
      <c r="AH188" s="35"/>
      <c r="AI188" s="35"/>
      <c r="AJ188" s="35"/>
      <c r="AK188" s="35"/>
      <c r="AL188" s="35"/>
      <c r="AM188" s="35"/>
      <c r="AN188" s="36"/>
      <c r="AO188" s="36"/>
      <c r="AP188" s="36"/>
      <c r="AQ188" s="36"/>
      <c r="AR188" s="36"/>
      <c r="AS188" s="36"/>
      <c r="AT188" s="36"/>
      <c r="AU188" s="36"/>
      <c r="AV188" s="36"/>
      <c r="AW188" s="36"/>
      <c r="AX188" s="36"/>
      <c r="AY188" s="36"/>
      <c r="AZ188" s="36"/>
      <c r="BA188" s="36"/>
      <c r="BB188" s="36"/>
      <c r="BC188" s="36"/>
      <c r="BD188" s="36"/>
      <c r="BE188" s="36"/>
    </row>
    <row r="189" spans="2:57" s="30" customFormat="1" ht="15" customHeight="1" x14ac:dyDescent="0.2">
      <c r="B189" s="30" t="s">
        <v>753</v>
      </c>
      <c r="J189" s="32"/>
      <c r="K189" s="37"/>
      <c r="L189" s="37"/>
      <c r="M189" s="81"/>
      <c r="N189" s="81"/>
      <c r="O189" s="249"/>
      <c r="Q189" s="34"/>
      <c r="R189" s="35"/>
      <c r="S189" s="35"/>
      <c r="T189" s="35"/>
      <c r="U189" s="35"/>
      <c r="V189" s="35"/>
      <c r="W189" s="35"/>
      <c r="X189" s="35"/>
      <c r="Y189" s="35"/>
      <c r="Z189" s="35"/>
      <c r="AA189" s="35"/>
      <c r="AB189" s="35"/>
      <c r="AC189" s="35"/>
      <c r="AD189" s="35"/>
      <c r="AE189" s="35"/>
      <c r="AF189" s="35"/>
      <c r="AG189" s="35"/>
      <c r="AH189" s="35"/>
      <c r="AI189" s="35"/>
      <c r="AJ189" s="35"/>
      <c r="AK189" s="36"/>
      <c r="AL189" s="36"/>
      <c r="AM189" s="36"/>
      <c r="AN189" s="36"/>
      <c r="AO189" s="36"/>
      <c r="AP189" s="36"/>
      <c r="AQ189" s="36"/>
      <c r="AR189" s="36"/>
      <c r="AS189" s="36"/>
      <c r="AT189" s="36"/>
      <c r="AU189" s="36"/>
      <c r="AV189" s="36"/>
      <c r="AW189" s="36"/>
      <c r="AX189" s="36"/>
      <c r="AY189" s="36"/>
      <c r="AZ189" s="36"/>
      <c r="BA189" s="36"/>
      <c r="BB189" s="36"/>
    </row>
    <row r="190" spans="2:57" s="30" customFormat="1" ht="15.75" x14ac:dyDescent="0.2">
      <c r="B190" s="8"/>
      <c r="C190" s="33"/>
      <c r="D190" s="81"/>
      <c r="G190" s="33"/>
      <c r="H190" s="81"/>
      <c r="J190" s="32"/>
      <c r="K190" s="37" t="s">
        <v>297</v>
      </c>
      <c r="L190" s="37" t="s">
        <v>185</v>
      </c>
      <c r="M190" s="81"/>
      <c r="N190" s="81"/>
      <c r="O190" s="249" t="s">
        <v>584</v>
      </c>
      <c r="Q190" s="34"/>
      <c r="R190" s="35" t="s">
        <v>318</v>
      </c>
      <c r="S190" s="35"/>
      <c r="T190" s="35"/>
      <c r="U190" s="35"/>
      <c r="V190" s="35"/>
      <c r="W190" s="35"/>
      <c r="X190" s="35"/>
      <c r="Y190" s="35"/>
      <c r="Z190" s="35"/>
      <c r="AA190" s="35"/>
      <c r="AB190" s="35"/>
      <c r="AC190" s="35"/>
      <c r="AD190" s="35"/>
      <c r="AE190" s="35"/>
      <c r="AF190" s="35"/>
      <c r="AG190" s="35"/>
      <c r="AH190" s="35"/>
      <c r="AI190" s="35"/>
      <c r="AJ190" s="35"/>
      <c r="AK190" s="35"/>
      <c r="AL190" s="35"/>
      <c r="AM190" s="35"/>
      <c r="AN190" s="36"/>
      <c r="AO190" s="36"/>
      <c r="AP190" s="36"/>
      <c r="AQ190" s="36"/>
      <c r="AR190" s="36"/>
      <c r="AS190" s="36"/>
      <c r="AT190" s="36"/>
      <c r="AU190" s="36"/>
      <c r="AV190" s="36"/>
      <c r="AW190" s="36"/>
      <c r="AX190" s="36"/>
      <c r="AY190" s="36"/>
      <c r="AZ190" s="36"/>
      <c r="BA190" s="36"/>
      <c r="BB190" s="36"/>
      <c r="BC190" s="36"/>
      <c r="BD190" s="36"/>
      <c r="BE190" s="36"/>
    </row>
    <row r="191" spans="2:57" s="30" customFormat="1" ht="30" customHeight="1" x14ac:dyDescent="0.2">
      <c r="B191" s="76" t="s">
        <v>549</v>
      </c>
      <c r="C191" s="471" t="s">
        <v>738</v>
      </c>
      <c r="D191" s="473"/>
      <c r="G191" s="33"/>
      <c r="H191" s="81"/>
      <c r="J191" s="32" t="s">
        <v>483</v>
      </c>
      <c r="K191" s="446" t="str">
        <f>IF(ISNUMBER(L191),L191,IF(C191="Ostosähkö",(Muut!$F$11+Muut!$F$13)/1000,IF(C191="Aurinkopaneelit",(Muut!$F$25+Muut!$F$26)/1000,IF(OR(C191="Bensiini",C191="Diesel"),(Muut!$F$16+Muut!$F$15+Muut!$F$18+Muut!$F$19)/2,IF(C191="Aggregaatti","Aggregaatin kerroin","--")))))</f>
        <v>--</v>
      </c>
      <c r="L191" s="71"/>
      <c r="M191" s="83" t="str">
        <f>IF(ISNUMBER(L191),"gCO2/e-yksikkö",IF(C191=Pudotusvalikot!$R$3,"--",IF(C191=Pudotusvalikot!$R$4,"gCO2/kWh",IF(C191=Pudotusvalikot!$R$5,"kgCO2/h",IF(C191=Pudotusvalikot!$R$6,"gCO2/kWh",IF(C191=Pudotusvalikot!$R$7,"kgCO2/l","kgCO2/kWh"))))))</f>
        <v>--</v>
      </c>
      <c r="N191" s="83"/>
      <c r="O191" s="250"/>
      <c r="Q191" s="34"/>
      <c r="R191" s="105" t="str">
        <f>IF(ISNUMBER(R195),R195,IF(ISNUMBER(R197),R197,""))</f>
        <v/>
      </c>
      <c r="S191" s="98" t="s">
        <v>160</v>
      </c>
      <c r="T191" s="35"/>
      <c r="U191" s="35"/>
      <c r="V191" s="35"/>
      <c r="W191" s="35"/>
      <c r="X191" s="35"/>
      <c r="Y191" s="35"/>
      <c r="Z191" s="35"/>
      <c r="AA191" s="35"/>
      <c r="AB191" s="35"/>
      <c r="AC191" s="35"/>
      <c r="AD191" s="35"/>
      <c r="AE191" s="35"/>
      <c r="AF191" s="35"/>
      <c r="AG191" s="35"/>
      <c r="AH191" s="35"/>
      <c r="AI191" s="35"/>
      <c r="AJ191" s="35"/>
      <c r="AK191" s="35"/>
      <c r="AL191" s="35"/>
      <c r="AM191" s="35"/>
      <c r="AN191" s="36"/>
      <c r="AO191" s="36"/>
      <c r="AP191" s="36"/>
      <c r="AQ191" s="36"/>
      <c r="AR191" s="36"/>
      <c r="AS191" s="36"/>
      <c r="AT191" s="36"/>
      <c r="AU191" s="36"/>
      <c r="AV191" s="36"/>
      <c r="AW191" s="36"/>
      <c r="AX191" s="36"/>
      <c r="AY191" s="36"/>
      <c r="AZ191" s="36"/>
      <c r="BA191" s="36"/>
      <c r="BB191" s="36"/>
      <c r="BC191" s="36"/>
      <c r="BD191" s="36"/>
      <c r="BE191" s="36"/>
    </row>
    <row r="192" spans="2:57" s="30" customFormat="1" ht="15" x14ac:dyDescent="0.2">
      <c r="B192" s="166" t="s">
        <v>486</v>
      </c>
      <c r="C192" s="156"/>
      <c r="D192" s="81" t="s">
        <v>8</v>
      </c>
      <c r="G192" s="33"/>
      <c r="H192" s="81"/>
      <c r="J192" s="32" t="s">
        <v>486</v>
      </c>
      <c r="K192" s="382">
        <f>IF(ISNUMBER(L192),L192,IF(OR(C191="Bensiini",C191="Diesel"),Muut!$F$35,Muut!$F$36))</f>
        <v>0.4</v>
      </c>
      <c r="L192" s="382" t="str">
        <f>IF(ISNUMBER(C192),C192/100,"--")</f>
        <v>--</v>
      </c>
      <c r="M192" s="83"/>
      <c r="N192" s="83"/>
      <c r="O192" s="260"/>
      <c r="Q192" s="34"/>
      <c r="R192" s="59"/>
      <c r="S192" s="98"/>
      <c r="T192" s="35"/>
      <c r="U192" s="35"/>
      <c r="V192" s="35"/>
      <c r="W192" s="35"/>
      <c r="X192" s="35"/>
      <c r="Y192" s="35"/>
      <c r="Z192" s="35"/>
      <c r="AA192" s="35"/>
      <c r="AB192" s="35"/>
      <c r="AC192" s="35"/>
      <c r="AD192" s="35"/>
      <c r="AE192" s="35"/>
      <c r="AF192" s="35"/>
      <c r="AG192" s="35"/>
      <c r="AH192" s="35"/>
      <c r="AI192" s="35"/>
      <c r="AJ192" s="35"/>
      <c r="AK192" s="35"/>
      <c r="AL192" s="35"/>
      <c r="AM192" s="35"/>
      <c r="AN192" s="36"/>
      <c r="AO192" s="36"/>
      <c r="AP192" s="36"/>
      <c r="AQ192" s="36"/>
      <c r="AR192" s="36"/>
      <c r="AS192" s="36"/>
      <c r="AT192" s="36"/>
      <c r="AU192" s="36"/>
      <c r="AV192" s="36"/>
      <c r="AW192" s="36"/>
      <c r="AX192" s="36"/>
      <c r="AY192" s="36"/>
      <c r="AZ192" s="36"/>
      <c r="BA192" s="36"/>
      <c r="BB192" s="36"/>
      <c r="BC192" s="36"/>
      <c r="BD192" s="36"/>
      <c r="BE192" s="36"/>
    </row>
    <row r="193" spans="1:59" s="30" customFormat="1" ht="15" x14ac:dyDescent="0.2">
      <c r="B193" s="52" t="s">
        <v>432</v>
      </c>
      <c r="C193" s="156"/>
      <c r="D193" s="86" t="s">
        <v>270</v>
      </c>
      <c r="G193" s="77"/>
      <c r="H193" s="81"/>
      <c r="M193" s="81"/>
      <c r="N193" s="81"/>
      <c r="O193" s="96"/>
      <c r="Q193" s="34"/>
      <c r="R193" s="95"/>
      <c r="S193" s="35"/>
      <c r="T193" s="35"/>
      <c r="U193" s="35"/>
      <c r="V193" s="35"/>
      <c r="W193" s="35"/>
      <c r="X193" s="35"/>
      <c r="Y193" s="35"/>
      <c r="Z193" s="35"/>
      <c r="AA193" s="35"/>
      <c r="AB193" s="35"/>
      <c r="AC193" s="35"/>
      <c r="AD193" s="35"/>
      <c r="AE193" s="35"/>
      <c r="AF193" s="35"/>
      <c r="AG193" s="35"/>
      <c r="AH193" s="35"/>
      <c r="AI193" s="35"/>
      <c r="AJ193" s="35"/>
      <c r="AK193" s="35"/>
      <c r="AL193" s="35"/>
      <c r="AM193" s="35"/>
      <c r="AN193" s="36"/>
      <c r="AO193" s="36"/>
      <c r="AP193" s="36"/>
      <c r="AQ193" s="36"/>
      <c r="AR193" s="36"/>
      <c r="AS193" s="36"/>
      <c r="AT193" s="36"/>
      <c r="AU193" s="36"/>
      <c r="AV193" s="36"/>
      <c r="AW193" s="36"/>
      <c r="AX193" s="36"/>
      <c r="AY193" s="36"/>
      <c r="AZ193" s="36"/>
      <c r="BA193" s="36"/>
      <c r="BB193" s="36"/>
      <c r="BC193" s="36"/>
      <c r="BD193" s="36"/>
      <c r="BE193" s="36"/>
    </row>
    <row r="194" spans="1:59" s="30" customFormat="1" ht="15" x14ac:dyDescent="0.2">
      <c r="B194" s="76" t="s">
        <v>434</v>
      </c>
      <c r="C194" s="33"/>
      <c r="D194" s="81"/>
      <c r="G194" s="33"/>
      <c r="H194" s="81"/>
      <c r="J194" s="32"/>
      <c r="K194" s="37"/>
      <c r="L194" s="37"/>
      <c r="M194" s="81"/>
      <c r="N194" s="81"/>
      <c r="O194" s="96"/>
      <c r="Q194" s="34"/>
      <c r="R194" s="43" t="s">
        <v>318</v>
      </c>
      <c r="S194" s="35"/>
      <c r="T194" s="35" t="s">
        <v>171</v>
      </c>
      <c r="U194" s="104"/>
      <c r="V194" s="35"/>
      <c r="W194" s="35"/>
      <c r="X194" s="35"/>
      <c r="Y194" s="35"/>
      <c r="Z194" s="35"/>
      <c r="AA194" s="35"/>
      <c r="AB194" s="35"/>
      <c r="AC194" s="35"/>
      <c r="AD194" s="35"/>
      <c r="AE194" s="35"/>
      <c r="AF194" s="35"/>
      <c r="AG194" s="35"/>
      <c r="AH194" s="35"/>
      <c r="AI194" s="35"/>
      <c r="AJ194" s="35"/>
      <c r="AK194" s="35"/>
      <c r="AL194" s="35"/>
      <c r="AM194" s="35"/>
      <c r="AN194" s="36"/>
      <c r="AO194" s="36"/>
      <c r="AP194" s="36"/>
      <c r="AQ194" s="36"/>
      <c r="AR194" s="36"/>
      <c r="AS194" s="36"/>
      <c r="AT194" s="36"/>
      <c r="AU194" s="36"/>
      <c r="AV194" s="36"/>
      <c r="AW194" s="36"/>
      <c r="AX194" s="36"/>
      <c r="AY194" s="36"/>
      <c r="AZ194" s="36"/>
      <c r="BA194" s="36"/>
      <c r="BB194" s="36"/>
      <c r="BC194" s="36"/>
      <c r="BD194" s="36"/>
      <c r="BE194" s="36"/>
    </row>
    <row r="195" spans="1:59" s="30" customFormat="1" ht="30" x14ac:dyDescent="0.2">
      <c r="B195" s="166" t="s">
        <v>488</v>
      </c>
      <c r="C195" s="152"/>
      <c r="D195" s="81" t="s">
        <v>264</v>
      </c>
      <c r="E195" s="33"/>
      <c r="G195" s="33"/>
      <c r="H195" s="81"/>
      <c r="M195" s="81"/>
      <c r="N195" s="81"/>
      <c r="O195" s="96"/>
      <c r="Q195" s="34"/>
      <c r="R195" s="191" t="str">
        <f>IF(ISNUMBER(C195),IF(AND(ISNUMBER(C193),C191="Aggregaatti"),C193*IF(D193="vuosi",365*24,IF(D193="kuukausi",30*24,IF(D193="päivä",24,1)))*T195,IF(C191="Aggregaatti",C195*(Muut!$F$15+Muut!$F$19),C195*T195)),"")</f>
        <v/>
      </c>
      <c r="S195" s="98" t="s">
        <v>160</v>
      </c>
      <c r="T195" s="191" t="str">
        <f>IF(ISNUMBER(L191),L191,IF(C191="Ostosähkö",(Muut!$F$11+Muut!$F$13),IF(C191="Aurinkopaneelit",(Muut!$F$25+Muut!$F$26),IF(OR(C191="Bensiini",C191="Diesel"),(Muut!$F$16+Muut!$F$15+Muut!$F$18+Muut!$F$19)/2,IF(C191="Aggregaatti","Aggregaatin kerroin","")))))</f>
        <v/>
      </c>
      <c r="U195" s="104"/>
      <c r="V195" s="35"/>
      <c r="W195" s="35"/>
      <c r="X195" s="35"/>
      <c r="Y195" s="35"/>
      <c r="Z195" s="35"/>
      <c r="AA195" s="35"/>
      <c r="AB195" s="35"/>
      <c r="AC195" s="35"/>
      <c r="AD195" s="35"/>
      <c r="AE195" s="35"/>
      <c r="AF195" s="35"/>
      <c r="AG195" s="35"/>
      <c r="AH195" s="35"/>
      <c r="AI195" s="35"/>
      <c r="AJ195" s="35"/>
      <c r="AK195" s="35"/>
      <c r="AL195" s="35"/>
      <c r="AM195" s="35"/>
      <c r="AN195" s="36"/>
      <c r="AO195" s="36"/>
      <c r="AP195" s="36"/>
      <c r="AQ195" s="36"/>
      <c r="AR195" s="36"/>
      <c r="AS195" s="36"/>
      <c r="AT195" s="36"/>
      <c r="AU195" s="36"/>
      <c r="AV195" s="36"/>
      <c r="AW195" s="36"/>
      <c r="AX195" s="36"/>
      <c r="AY195" s="36"/>
      <c r="AZ195" s="36"/>
      <c r="BA195" s="36"/>
      <c r="BB195" s="36"/>
      <c r="BC195" s="36"/>
      <c r="BD195" s="36"/>
      <c r="BE195" s="36"/>
    </row>
    <row r="196" spans="1:59" s="30" customFormat="1" ht="15" x14ac:dyDescent="0.2">
      <c r="B196" s="52" t="s">
        <v>435</v>
      </c>
      <c r="C196" s="33"/>
      <c r="D196" s="81"/>
      <c r="G196" s="77"/>
      <c r="H196" s="81"/>
      <c r="M196" s="81"/>
      <c r="N196" s="81"/>
      <c r="O196" s="96"/>
      <c r="Q196" s="34"/>
      <c r="R196" s="43" t="s">
        <v>318</v>
      </c>
      <c r="S196" s="35"/>
      <c r="T196" s="35" t="s">
        <v>705</v>
      </c>
      <c r="U196" s="35"/>
      <c r="V196" s="35"/>
      <c r="W196" s="35"/>
      <c r="X196" s="35"/>
      <c r="Y196" s="35"/>
      <c r="Z196" s="35"/>
      <c r="AA196" s="35"/>
      <c r="AB196" s="35"/>
      <c r="AC196" s="35"/>
      <c r="AD196" s="35"/>
      <c r="AE196" s="35"/>
      <c r="AF196" s="35"/>
      <c r="AG196" s="35"/>
      <c r="AH196" s="35"/>
      <c r="AI196" s="35"/>
      <c r="AJ196" s="35"/>
      <c r="AK196" s="35"/>
      <c r="AL196" s="35"/>
      <c r="AM196" s="35"/>
      <c r="AN196" s="36"/>
      <c r="AO196" s="36"/>
      <c r="AP196" s="36"/>
      <c r="AQ196" s="36"/>
      <c r="AR196" s="36"/>
      <c r="AS196" s="36"/>
      <c r="AT196" s="36"/>
      <c r="AU196" s="36"/>
      <c r="AV196" s="36"/>
      <c r="AW196" s="36"/>
      <c r="AX196" s="36"/>
      <c r="AY196" s="36"/>
      <c r="AZ196" s="36"/>
      <c r="BA196" s="36"/>
      <c r="BB196" s="36"/>
      <c r="BC196" s="36"/>
      <c r="BD196" s="36"/>
      <c r="BE196" s="36"/>
    </row>
    <row r="197" spans="1:59" s="30" customFormat="1" ht="15" x14ac:dyDescent="0.2">
      <c r="B197" s="44" t="s">
        <v>433</v>
      </c>
      <c r="C197" s="441"/>
      <c r="D197" s="81" t="s">
        <v>195</v>
      </c>
      <c r="G197" s="77"/>
      <c r="H197" s="81"/>
      <c r="M197" s="81"/>
      <c r="N197" s="81"/>
      <c r="O197" s="96"/>
      <c r="Q197" s="34"/>
      <c r="R197" s="191" t="str">
        <f>IF(AND(ISNUMBER(C197),ISNUMBER(C193)),IF(D193="vuosi",365*24,IF(D193="kuukausi",30*24,IF(D193="päivä",24,1)))*C193*T197,"")</f>
        <v/>
      </c>
      <c r="S197" s="98" t="s">
        <v>160</v>
      </c>
      <c r="T197" s="191" t="str">
        <f>IF(ISNUMBER(L191),L191,IF(C191="Ostosähkö",(Muut!$F$11+Muut!$F$13)/1000/K192,IF(C191="Aurinkopaneelit",(Muut!$F$25+Muut!$F$26)/1000/K192,IF(OR(C191="Bensiini",C191="Diesel"),(Muut!$F$16+Muut!$F$15+Muut!$F$18+Muut!$F$19)/2/K192,IF(C191="Aggregaatti","Aggregaatin kerroin","")))))</f>
        <v/>
      </c>
      <c r="U197" s="104"/>
      <c r="V197" s="35"/>
      <c r="W197" s="35"/>
      <c r="X197" s="35"/>
      <c r="Y197" s="35"/>
      <c r="Z197" s="35"/>
      <c r="AA197" s="35"/>
      <c r="AB197" s="35"/>
      <c r="AC197" s="35"/>
      <c r="AD197" s="35"/>
      <c r="AE197" s="35"/>
      <c r="AF197" s="35"/>
      <c r="AG197" s="35"/>
      <c r="AH197" s="35"/>
      <c r="AI197" s="35"/>
      <c r="AJ197" s="35"/>
      <c r="AK197" s="35"/>
      <c r="AL197" s="35"/>
      <c r="AM197" s="35"/>
      <c r="AN197" s="36"/>
      <c r="AO197" s="36"/>
      <c r="AP197" s="36"/>
      <c r="AQ197" s="36"/>
      <c r="AR197" s="36"/>
      <c r="AS197" s="36"/>
      <c r="AT197" s="36"/>
      <c r="AU197" s="36"/>
      <c r="AV197" s="36"/>
      <c r="AW197" s="36"/>
      <c r="AX197" s="36"/>
      <c r="AY197" s="36"/>
      <c r="AZ197" s="36"/>
      <c r="BA197" s="36"/>
      <c r="BB197" s="36"/>
      <c r="BC197" s="36"/>
      <c r="BD197" s="36"/>
      <c r="BE197" s="36"/>
    </row>
    <row r="198" spans="1:59" s="30" customFormat="1" ht="15" x14ac:dyDescent="0.2">
      <c r="D198" s="81"/>
      <c r="H198" s="81"/>
      <c r="J198" s="32"/>
      <c r="K198" s="37" t="s">
        <v>297</v>
      </c>
      <c r="L198" s="37" t="s">
        <v>185</v>
      </c>
      <c r="M198" s="81"/>
      <c r="N198" s="81"/>
      <c r="O198" s="96"/>
      <c r="Q198" s="34"/>
      <c r="R198" s="95"/>
      <c r="S198" s="35"/>
      <c r="T198" s="35"/>
      <c r="U198" s="35"/>
      <c r="V198" s="35"/>
      <c r="W198" s="35"/>
      <c r="X198" s="35"/>
      <c r="Y198" s="35"/>
      <c r="Z198" s="35"/>
      <c r="AA198" s="35"/>
      <c r="AB198" s="35"/>
      <c r="AC198" s="35"/>
      <c r="AD198" s="35"/>
      <c r="AE198" s="35"/>
      <c r="AF198" s="35"/>
      <c r="AG198" s="35"/>
      <c r="AH198" s="35"/>
      <c r="AI198" s="35"/>
      <c r="AJ198" s="35"/>
      <c r="AK198" s="35"/>
      <c r="AL198" s="35"/>
      <c r="AM198" s="35"/>
      <c r="AN198" s="36"/>
      <c r="AO198" s="36"/>
      <c r="AP198" s="36"/>
      <c r="AQ198" s="36"/>
      <c r="AR198" s="36"/>
      <c r="AS198" s="36"/>
      <c r="AT198" s="36"/>
      <c r="AU198" s="36"/>
      <c r="AV198" s="36"/>
      <c r="AW198" s="36"/>
      <c r="AX198" s="36"/>
      <c r="AY198" s="36"/>
      <c r="AZ198" s="36"/>
      <c r="BA198" s="36"/>
      <c r="BB198" s="36"/>
      <c r="BC198" s="36"/>
      <c r="BD198" s="36"/>
      <c r="BE198" s="36"/>
    </row>
    <row r="199" spans="1:59" s="30" customFormat="1" ht="15" x14ac:dyDescent="0.2">
      <c r="B199" s="52" t="s">
        <v>451</v>
      </c>
      <c r="C199" s="156"/>
      <c r="D199" s="81" t="s">
        <v>194</v>
      </c>
      <c r="G199" s="33"/>
      <c r="H199" s="81"/>
      <c r="J199" s="32" t="s">
        <v>446</v>
      </c>
      <c r="K199" s="92">
        <f>IF(ISNUMBER(L199),L199,Muut!$F$37)</f>
        <v>0.7</v>
      </c>
      <c r="L199" s="71"/>
      <c r="M199" s="81" t="s">
        <v>207</v>
      </c>
      <c r="N199" s="81"/>
      <c r="O199" s="96"/>
      <c r="Q199" s="34"/>
      <c r="R199" s="105">
        <f>IF(ISNUMBER(K199*C199),K199*C199,"")</f>
        <v>0</v>
      </c>
      <c r="S199" s="98" t="s">
        <v>160</v>
      </c>
      <c r="T199" s="35"/>
      <c r="U199" s="35"/>
      <c r="V199" s="35"/>
      <c r="W199" s="35"/>
      <c r="X199" s="35"/>
      <c r="Y199" s="35"/>
      <c r="Z199" s="35"/>
      <c r="AA199" s="35"/>
      <c r="AB199" s="35"/>
      <c r="AC199" s="35"/>
      <c r="AD199" s="35"/>
      <c r="AE199" s="35"/>
      <c r="AF199" s="35"/>
      <c r="AG199" s="35"/>
      <c r="AH199" s="35"/>
      <c r="AI199" s="35"/>
      <c r="AJ199" s="35"/>
      <c r="AK199" s="35"/>
      <c r="AL199" s="35"/>
      <c r="AM199" s="35"/>
      <c r="AN199" s="36"/>
      <c r="AO199" s="36"/>
      <c r="AP199" s="36"/>
      <c r="AQ199" s="36"/>
      <c r="AR199" s="36"/>
      <c r="AS199" s="36"/>
      <c r="AT199" s="36"/>
      <c r="AU199" s="36"/>
      <c r="AV199" s="36"/>
      <c r="AW199" s="36"/>
      <c r="AX199" s="36"/>
      <c r="AY199" s="36"/>
      <c r="AZ199" s="36"/>
      <c r="BA199" s="36"/>
      <c r="BB199" s="36"/>
      <c r="BC199" s="36"/>
      <c r="BD199" s="36"/>
      <c r="BE199" s="36"/>
    </row>
    <row r="200" spans="1:59" s="30" customFormat="1" ht="15" x14ac:dyDescent="0.2">
      <c r="B200" s="68" t="s">
        <v>444</v>
      </c>
      <c r="C200" s="93"/>
      <c r="D200" s="74" t="s">
        <v>194</v>
      </c>
      <c r="G200" s="33"/>
      <c r="H200" s="81"/>
      <c r="J200" s="69" t="s">
        <v>445</v>
      </c>
      <c r="K200" s="33"/>
      <c r="L200" s="33"/>
      <c r="M200" s="81"/>
      <c r="N200" s="81"/>
      <c r="O200" s="96"/>
      <c r="Q200" s="34"/>
      <c r="R200" s="95"/>
      <c r="S200" s="35"/>
      <c r="T200" s="35"/>
      <c r="U200" s="35"/>
      <c r="V200" s="35"/>
      <c r="W200" s="35"/>
      <c r="X200" s="35"/>
      <c r="Y200" s="35"/>
      <c r="Z200" s="35"/>
      <c r="AA200" s="35"/>
      <c r="AB200" s="35"/>
      <c r="AC200" s="35"/>
      <c r="AD200" s="35"/>
      <c r="AE200" s="35"/>
      <c r="AF200" s="35"/>
      <c r="AG200" s="35"/>
      <c r="AH200" s="35"/>
      <c r="AI200" s="35"/>
      <c r="AJ200" s="35"/>
      <c r="AK200" s="35"/>
      <c r="AL200" s="35"/>
      <c r="AM200" s="35"/>
      <c r="AN200" s="36"/>
      <c r="AO200" s="36"/>
      <c r="AP200" s="36"/>
      <c r="AQ200" s="36"/>
      <c r="AR200" s="36"/>
      <c r="AS200" s="36"/>
      <c r="AT200" s="36"/>
      <c r="AU200" s="36"/>
      <c r="AV200" s="36"/>
      <c r="AW200" s="36"/>
      <c r="AX200" s="36"/>
      <c r="AY200" s="36"/>
      <c r="AZ200" s="36"/>
      <c r="BA200" s="36"/>
      <c r="BB200" s="36"/>
      <c r="BC200" s="36"/>
      <c r="BD200" s="36"/>
      <c r="BE200" s="36"/>
    </row>
    <row r="201" spans="1:59" s="30" customFormat="1" ht="15" x14ac:dyDescent="0.2">
      <c r="B201" s="68" t="s">
        <v>13</v>
      </c>
      <c r="C201" s="93"/>
      <c r="D201" s="74" t="s">
        <v>194</v>
      </c>
      <c r="G201" s="33"/>
      <c r="H201" s="81"/>
      <c r="J201" s="69" t="s">
        <v>250</v>
      </c>
      <c r="K201" s="33"/>
      <c r="L201" s="33"/>
      <c r="M201" s="81"/>
      <c r="N201" s="81"/>
      <c r="O201" s="96"/>
      <c r="Q201" s="34"/>
      <c r="R201" s="95"/>
      <c r="S201" s="35"/>
      <c r="T201" s="35"/>
      <c r="U201" s="35"/>
      <c r="V201" s="35"/>
      <c r="W201" s="35"/>
      <c r="X201" s="35"/>
      <c r="Y201" s="35"/>
      <c r="Z201" s="35"/>
      <c r="AA201" s="35"/>
      <c r="AB201" s="35"/>
      <c r="AC201" s="35"/>
      <c r="AD201" s="35"/>
      <c r="AE201" s="35"/>
      <c r="AF201" s="35"/>
      <c r="AG201" s="35"/>
      <c r="AH201" s="35"/>
      <c r="AI201" s="35"/>
      <c r="AJ201" s="35"/>
      <c r="AK201" s="35"/>
      <c r="AL201" s="35"/>
      <c r="AM201" s="35"/>
      <c r="AN201" s="36"/>
      <c r="AO201" s="36"/>
      <c r="AP201" s="36"/>
      <c r="AQ201" s="36"/>
      <c r="AR201" s="36"/>
      <c r="AS201" s="36"/>
      <c r="AT201" s="36"/>
      <c r="AU201" s="36"/>
      <c r="AV201" s="36"/>
      <c r="AW201" s="36"/>
      <c r="AX201" s="36"/>
      <c r="AY201" s="36"/>
      <c r="AZ201" s="36"/>
      <c r="BA201" s="36"/>
      <c r="BB201" s="36"/>
      <c r="BC201" s="36"/>
      <c r="BD201" s="36"/>
      <c r="BE201" s="36"/>
    </row>
    <row r="202" spans="1:59" s="30" customFormat="1" ht="15" x14ac:dyDescent="0.2">
      <c r="C202" s="33"/>
      <c r="D202" s="81"/>
      <c r="G202" s="33"/>
      <c r="H202" s="81"/>
      <c r="P202" s="67"/>
      <c r="Q202" s="104"/>
      <c r="R202" s="94"/>
      <c r="S202" s="104"/>
      <c r="T202" s="36"/>
      <c r="U202" s="35"/>
      <c r="V202" s="35"/>
      <c r="W202" s="35"/>
      <c r="X202" s="35"/>
      <c r="Y202" s="35"/>
      <c r="Z202" s="35"/>
      <c r="AA202" s="35"/>
      <c r="AB202" s="35"/>
      <c r="AC202" s="35"/>
      <c r="AD202" s="35"/>
      <c r="AE202" s="35"/>
      <c r="AF202" s="35"/>
      <c r="AG202" s="35"/>
      <c r="AH202" s="35"/>
      <c r="AI202" s="35"/>
      <c r="AJ202" s="35"/>
      <c r="AK202" s="35"/>
      <c r="AL202" s="35"/>
      <c r="AM202" s="35"/>
      <c r="AN202" s="35"/>
      <c r="AO202" s="35"/>
      <c r="AP202" s="36"/>
      <c r="AQ202" s="36"/>
      <c r="AR202" s="36"/>
      <c r="AS202" s="36"/>
      <c r="AT202" s="36"/>
      <c r="AU202" s="36"/>
      <c r="AV202" s="36"/>
      <c r="AW202" s="36"/>
      <c r="AX202" s="36"/>
      <c r="AY202" s="36"/>
      <c r="AZ202" s="36"/>
      <c r="BA202" s="36"/>
      <c r="BB202" s="36"/>
      <c r="BC202" s="36"/>
      <c r="BD202" s="36"/>
      <c r="BE202" s="36"/>
      <c r="BF202" s="36"/>
      <c r="BG202" s="36"/>
    </row>
    <row r="203" spans="1:59" s="289" customFormat="1" ht="18" x14ac:dyDescent="0.2">
      <c r="B203" s="286" t="s">
        <v>56</v>
      </c>
      <c r="C203" s="287"/>
      <c r="D203" s="288"/>
      <c r="G203" s="287"/>
      <c r="H203" s="288"/>
      <c r="I203" s="288"/>
      <c r="K203" s="287"/>
      <c r="L203" s="287"/>
      <c r="M203" s="288"/>
      <c r="N203" s="288"/>
      <c r="O203" s="291"/>
      <c r="P203" s="311"/>
      <c r="Q203" s="295"/>
      <c r="S203" s="294"/>
      <c r="T203" s="294"/>
      <c r="U203" s="294"/>
      <c r="V203" s="294"/>
      <c r="W203" s="294"/>
      <c r="X203" s="294"/>
      <c r="Y203" s="294"/>
      <c r="Z203" s="294"/>
      <c r="AA203" s="294"/>
      <c r="AB203" s="294"/>
      <c r="AC203" s="294"/>
      <c r="AD203" s="294"/>
      <c r="AE203" s="294"/>
      <c r="AF203" s="294"/>
      <c r="AG203" s="294"/>
      <c r="AH203" s="294"/>
      <c r="AI203" s="294"/>
      <c r="AJ203" s="294"/>
      <c r="AK203" s="294"/>
      <c r="AL203" s="294"/>
      <c r="AM203" s="294"/>
      <c r="AN203" s="295"/>
      <c r="AO203" s="295"/>
      <c r="AP203" s="295"/>
      <c r="AQ203" s="295"/>
      <c r="AR203" s="295"/>
      <c r="AS203" s="295"/>
      <c r="AT203" s="295"/>
      <c r="AU203" s="295"/>
      <c r="AV203" s="295"/>
      <c r="AW203" s="295"/>
      <c r="AX203" s="295"/>
      <c r="AY203" s="295"/>
      <c r="AZ203" s="295"/>
      <c r="BA203" s="295"/>
      <c r="BB203" s="295"/>
      <c r="BC203" s="295"/>
      <c r="BD203" s="295"/>
      <c r="BE203" s="295"/>
    </row>
    <row r="204" spans="1:59" s="30" customFormat="1" ht="15.75" x14ac:dyDescent="0.2">
      <c r="B204" s="8"/>
      <c r="C204" s="33"/>
      <c r="D204" s="81"/>
      <c r="G204" s="33"/>
      <c r="H204" s="81"/>
      <c r="J204" s="32"/>
      <c r="M204" s="81"/>
      <c r="N204" s="81"/>
      <c r="O204" s="249" t="s">
        <v>584</v>
      </c>
      <c r="Q204" s="34"/>
      <c r="R204" s="43" t="s">
        <v>318</v>
      </c>
      <c r="S204" s="35"/>
      <c r="T204" s="43"/>
      <c r="U204" s="43"/>
      <c r="V204" s="43"/>
      <c r="W204" s="43"/>
      <c r="X204" s="43"/>
      <c r="Y204" s="43"/>
      <c r="Z204" s="43"/>
      <c r="AA204" s="43"/>
      <c r="AB204" s="43"/>
      <c r="AC204" s="43"/>
      <c r="AD204" s="43"/>
      <c r="AE204" s="35"/>
      <c r="AF204" s="35"/>
      <c r="AG204" s="35"/>
      <c r="AH204" s="35"/>
      <c r="AI204" s="35"/>
      <c r="AJ204" s="35"/>
      <c r="AK204" s="35"/>
      <c r="AL204" s="35"/>
      <c r="AM204" s="35"/>
      <c r="AN204" s="36"/>
      <c r="AO204" s="36"/>
      <c r="AP204" s="36"/>
      <c r="AQ204" s="36"/>
      <c r="AR204" s="36"/>
      <c r="AS204" s="36"/>
      <c r="AT204" s="36"/>
      <c r="AU204" s="36"/>
      <c r="AV204" s="36"/>
      <c r="AW204" s="36"/>
      <c r="AX204" s="36"/>
      <c r="AY204" s="36"/>
      <c r="AZ204" s="36"/>
      <c r="BA204" s="36"/>
      <c r="BB204" s="36"/>
      <c r="BC204" s="36"/>
      <c r="BD204" s="36"/>
      <c r="BE204" s="36"/>
    </row>
    <row r="205" spans="1:59" s="30" customFormat="1" ht="15" customHeight="1" x14ac:dyDescent="0.2">
      <c r="B205" s="30" t="s">
        <v>753</v>
      </c>
      <c r="J205" s="32"/>
      <c r="K205" s="37"/>
      <c r="L205" s="37"/>
      <c r="M205" s="81"/>
      <c r="N205" s="81"/>
      <c r="O205" s="249"/>
      <c r="Q205" s="34"/>
      <c r="R205" s="35"/>
      <c r="S205" s="35"/>
      <c r="T205" s="35"/>
      <c r="U205" s="35"/>
      <c r="V205" s="35"/>
      <c r="W205" s="35"/>
      <c r="X205" s="35"/>
      <c r="Y205" s="35"/>
      <c r="Z205" s="35"/>
      <c r="AA205" s="35"/>
      <c r="AB205" s="35"/>
      <c r="AC205" s="35"/>
      <c r="AD205" s="35"/>
      <c r="AE205" s="35"/>
      <c r="AF205" s="35"/>
      <c r="AG205" s="35"/>
      <c r="AH205" s="35"/>
      <c r="AI205" s="35"/>
      <c r="AJ205" s="35"/>
      <c r="AK205" s="36"/>
      <c r="AL205" s="36"/>
      <c r="AM205" s="36"/>
      <c r="AN205" s="36"/>
      <c r="AO205" s="36"/>
      <c r="AP205" s="36"/>
      <c r="AQ205" s="36"/>
      <c r="AR205" s="36"/>
      <c r="AS205" s="36"/>
      <c r="AT205" s="36"/>
      <c r="AU205" s="36"/>
      <c r="AV205" s="36"/>
      <c r="AW205" s="36"/>
      <c r="AX205" s="36"/>
      <c r="AY205" s="36"/>
      <c r="AZ205" s="36"/>
      <c r="BA205" s="36"/>
      <c r="BB205" s="36"/>
    </row>
    <row r="206" spans="1:59" s="30" customFormat="1" ht="15.75" x14ac:dyDescent="0.2">
      <c r="B206" s="8"/>
      <c r="C206" s="33"/>
      <c r="D206" s="81"/>
      <c r="G206" s="33"/>
      <c r="H206" s="81"/>
      <c r="J206" s="32"/>
      <c r="K206" s="37" t="s">
        <v>297</v>
      </c>
      <c r="L206" s="37" t="s">
        <v>185</v>
      </c>
      <c r="M206" s="81"/>
      <c r="N206" s="81"/>
      <c r="O206" s="249" t="s">
        <v>584</v>
      </c>
      <c r="Q206" s="129"/>
      <c r="R206" s="35" t="s">
        <v>318</v>
      </c>
      <c r="S206" s="35"/>
      <c r="T206" s="36"/>
      <c r="U206" s="35"/>
      <c r="V206" s="35"/>
      <c r="W206" s="35"/>
      <c r="X206" s="35"/>
      <c r="Y206" s="35"/>
      <c r="Z206" s="35"/>
      <c r="AA206" s="35"/>
      <c r="AB206" s="35"/>
      <c r="AC206" s="35"/>
      <c r="AD206" s="35"/>
      <c r="AE206" s="35"/>
      <c r="AF206" s="35"/>
      <c r="AG206" s="35"/>
      <c r="AH206" s="35"/>
      <c r="AI206" s="35"/>
      <c r="AJ206" s="35"/>
      <c r="AK206" s="35"/>
      <c r="AL206" s="35"/>
      <c r="AM206" s="35"/>
      <c r="AN206" s="35"/>
      <c r="AO206" s="35"/>
      <c r="AP206" s="36"/>
      <c r="AQ206" s="36"/>
      <c r="AR206" s="36"/>
      <c r="AS206" s="36"/>
      <c r="AT206" s="36"/>
      <c r="AU206" s="36"/>
      <c r="AV206" s="36"/>
      <c r="AW206" s="36"/>
      <c r="AX206" s="36"/>
      <c r="AY206" s="36"/>
      <c r="AZ206" s="36"/>
      <c r="BA206" s="36"/>
      <c r="BB206" s="36"/>
      <c r="BC206" s="36"/>
      <c r="BD206" s="36"/>
      <c r="BE206" s="36"/>
      <c r="BF206" s="36"/>
      <c r="BG206" s="36"/>
    </row>
    <row r="207" spans="1:59" s="30" customFormat="1" ht="15" x14ac:dyDescent="0.2">
      <c r="A207" s="395"/>
      <c r="B207" s="76" t="s">
        <v>549</v>
      </c>
      <c r="C207" s="471" t="s">
        <v>265</v>
      </c>
      <c r="D207" s="473"/>
      <c r="E207" s="33"/>
      <c r="G207" s="33"/>
      <c r="H207" s="81"/>
      <c r="J207" s="32" t="s">
        <v>483</v>
      </c>
      <c r="K207" s="92" t="str">
        <f>IF(ISNUMBER(L207),L207,IF(C207=Pudotusvalikot!$Z$3,"--",IF(C207=Pudotusvalikot!$Z$4,Muut!$F$11/1000+Muut!$F$13/1000,IF(C207=Pudotusvalikot!$Z$5,Muut!$F$25/1000+Muut!$F$26/1000,IF(C207=Pudotusvalikot!$Z$6,Muut!$F$16+Muut!$F$19,Muut!$F$15+Muut!$F$18)))))</f>
        <v>--</v>
      </c>
      <c r="L207" s="71"/>
      <c r="M207" s="83" t="str">
        <f>IF(ISNUMBER(L207),"gCO2/e-yksikkö",IF(C207=Pudotusvalikot!$R$3,"--",IF(C207=Pudotusvalikot!$R$4,"gCO2/kWh",IF(C207=Pudotusvalikot!$R$5,"kgCO2/h",IF(C207=Pudotusvalikot!$R$6,"gCO2/kWh",IF(C207=Pudotusvalikot!$R$7,"kgCO2/l","kgCO2/kWh"))))))</f>
        <v>kgCO2/kWh</v>
      </c>
      <c r="N207" s="83"/>
      <c r="O207" s="250"/>
      <c r="Q207" s="129"/>
      <c r="R207" s="105" t="str">
        <f>IF(ISNUMBER(R211),R211,IF(ISNUMBER(R213),R213,""))</f>
        <v/>
      </c>
      <c r="S207" s="98" t="s">
        <v>160</v>
      </c>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6"/>
      <c r="AQ207" s="36"/>
      <c r="AR207" s="36"/>
      <c r="AS207" s="36"/>
      <c r="AT207" s="36"/>
      <c r="AU207" s="36"/>
      <c r="AV207" s="36"/>
      <c r="AW207" s="36"/>
      <c r="AX207" s="36"/>
      <c r="AY207" s="36"/>
      <c r="AZ207" s="36"/>
      <c r="BA207" s="36"/>
      <c r="BB207" s="36"/>
      <c r="BC207" s="36"/>
      <c r="BD207" s="36"/>
      <c r="BE207" s="36"/>
      <c r="BF207" s="36"/>
      <c r="BG207" s="36"/>
    </row>
    <row r="208" spans="1:59" s="30" customFormat="1" ht="15" x14ac:dyDescent="0.2">
      <c r="A208" s="395"/>
      <c r="B208" s="166" t="s">
        <v>486</v>
      </c>
      <c r="C208" s="156"/>
      <c r="D208" s="81" t="s">
        <v>8</v>
      </c>
      <c r="E208" s="33"/>
      <c r="G208" s="33"/>
      <c r="H208" s="81"/>
      <c r="J208" s="32" t="s">
        <v>486</v>
      </c>
      <c r="K208" s="382">
        <f>IF(ISNUMBER(L208),L208,IF(OR(C207="Bensiini",C207="Diesel"),Muut!$F$35,Muut!$F$36))</f>
        <v>0.4</v>
      </c>
      <c r="L208" s="382" t="str">
        <f>IF(ISNUMBER(C208),C208/100,"--")</f>
        <v>--</v>
      </c>
      <c r="M208" s="83"/>
      <c r="N208" s="83"/>
      <c r="O208" s="260"/>
      <c r="Q208" s="34"/>
      <c r="R208" s="59"/>
      <c r="S208" s="98"/>
      <c r="T208" s="35"/>
      <c r="U208" s="35"/>
      <c r="V208" s="35"/>
      <c r="W208" s="35"/>
      <c r="X208" s="35"/>
      <c r="Y208" s="35"/>
      <c r="Z208" s="35"/>
      <c r="AA208" s="35"/>
      <c r="AB208" s="35"/>
      <c r="AC208" s="35"/>
      <c r="AD208" s="35"/>
      <c r="AE208" s="35"/>
      <c r="AF208" s="35"/>
      <c r="AG208" s="35"/>
      <c r="AH208" s="35"/>
      <c r="AI208" s="35"/>
      <c r="AJ208" s="35"/>
      <c r="AK208" s="35"/>
      <c r="AL208" s="35"/>
      <c r="AM208" s="35"/>
      <c r="AN208" s="36"/>
      <c r="AO208" s="36"/>
      <c r="AP208" s="36"/>
      <c r="AQ208" s="36"/>
      <c r="AR208" s="36"/>
      <c r="AS208" s="36"/>
      <c r="AT208" s="36"/>
      <c r="AU208" s="36"/>
      <c r="AV208" s="36"/>
      <c r="AW208" s="36"/>
      <c r="AX208" s="36"/>
      <c r="AY208" s="36"/>
      <c r="AZ208" s="36"/>
      <c r="BA208" s="36"/>
      <c r="BB208" s="36"/>
      <c r="BC208" s="36"/>
      <c r="BD208" s="36"/>
      <c r="BE208" s="36"/>
    </row>
    <row r="209" spans="1:59" s="30" customFormat="1" ht="15" x14ac:dyDescent="0.2">
      <c r="A209" s="395"/>
      <c r="B209" s="52" t="s">
        <v>283</v>
      </c>
      <c r="C209" s="156"/>
      <c r="D209" s="86" t="s">
        <v>271</v>
      </c>
      <c r="E209" s="77"/>
      <c r="G209" s="77"/>
      <c r="H209" s="81"/>
      <c r="M209" s="81"/>
      <c r="N209" s="81"/>
      <c r="O209" s="96"/>
      <c r="Q209" s="129"/>
      <c r="R209" s="9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c r="AO209" s="35"/>
      <c r="AP209" s="36"/>
      <c r="AQ209" s="36"/>
      <c r="AR209" s="36"/>
      <c r="AS209" s="36"/>
      <c r="AT209" s="36"/>
      <c r="AU209" s="36"/>
      <c r="AV209" s="36"/>
      <c r="AW209" s="36"/>
      <c r="AX209" s="36"/>
      <c r="AY209" s="36"/>
      <c r="AZ209" s="36"/>
      <c r="BA209" s="36"/>
      <c r="BB209" s="36"/>
      <c r="BC209" s="36"/>
      <c r="BD209" s="36"/>
      <c r="BE209" s="36"/>
      <c r="BF209" s="36"/>
      <c r="BG209" s="36"/>
    </row>
    <row r="210" spans="1:59" s="30" customFormat="1" ht="15" x14ac:dyDescent="0.2">
      <c r="A210" s="395"/>
      <c r="B210" s="52" t="s">
        <v>548</v>
      </c>
      <c r="C210" s="33"/>
      <c r="D210" s="81"/>
      <c r="G210" s="33"/>
      <c r="H210" s="81"/>
      <c r="J210" s="32"/>
      <c r="K210" s="37"/>
      <c r="L210" s="37"/>
      <c r="M210" s="81"/>
      <c r="N210" s="81"/>
      <c r="O210" s="96"/>
      <c r="Q210" s="129"/>
      <c r="R210" s="43" t="s">
        <v>318</v>
      </c>
      <c r="S210" s="35"/>
      <c r="T210" s="35" t="s">
        <v>171</v>
      </c>
      <c r="U210" s="35"/>
      <c r="V210" s="35"/>
      <c r="W210" s="35"/>
      <c r="X210" s="35"/>
      <c r="Y210" s="35"/>
      <c r="Z210" s="35"/>
      <c r="AA210" s="35"/>
      <c r="AB210" s="35"/>
      <c r="AC210" s="35"/>
      <c r="AD210" s="35"/>
      <c r="AE210" s="35"/>
      <c r="AF210" s="35"/>
      <c r="AG210" s="35"/>
      <c r="AH210" s="35"/>
      <c r="AI210" s="35"/>
      <c r="AJ210" s="35"/>
      <c r="AK210" s="35"/>
      <c r="AL210" s="35"/>
      <c r="AM210" s="35"/>
      <c r="AN210" s="35"/>
      <c r="AO210" s="35"/>
      <c r="AP210" s="36"/>
      <c r="AQ210" s="36"/>
      <c r="AR210" s="36"/>
      <c r="AS210" s="36"/>
      <c r="AT210" s="36"/>
      <c r="AU210" s="36"/>
      <c r="AV210" s="36"/>
      <c r="AW210" s="36"/>
      <c r="AX210" s="36"/>
      <c r="AY210" s="36"/>
      <c r="AZ210" s="36"/>
      <c r="BA210" s="36"/>
      <c r="BB210" s="36"/>
      <c r="BC210" s="36"/>
      <c r="BD210" s="36"/>
      <c r="BE210" s="36"/>
      <c r="BF210" s="36"/>
      <c r="BG210" s="36"/>
    </row>
    <row r="211" spans="1:59" s="30" customFormat="1" ht="30" x14ac:dyDescent="0.2">
      <c r="A211" s="395"/>
      <c r="B211" s="166" t="s">
        <v>553</v>
      </c>
      <c r="C211" s="152"/>
      <c r="D211" s="81" t="s">
        <v>264</v>
      </c>
      <c r="E211" s="33"/>
      <c r="G211" s="33"/>
      <c r="H211" s="81"/>
      <c r="M211" s="81"/>
      <c r="N211" s="81"/>
      <c r="O211" s="96"/>
      <c r="Q211" s="129"/>
      <c r="R211" s="191" t="str">
        <f>IF(ISNUMBER(C211),IF(AND(ISNUMBER(C209),C207="Aggregaatti"),C209*IF(D209="vuosi",365*24,IF(D209="kuukausi",30*24,IF(D209="päivä",24,1)))*T211,IF(C207="Aggregaatti",C211*(Muut!$F$15+Muut!$F$19),C211*T211)),"")</f>
        <v/>
      </c>
      <c r="S211" s="98" t="s">
        <v>160</v>
      </c>
      <c r="T211" s="191" t="str">
        <f>IF(ISNUMBER(C211),K207,"")</f>
        <v/>
      </c>
      <c r="U211" s="35"/>
      <c r="V211" s="35"/>
      <c r="W211" s="35"/>
      <c r="X211" s="35"/>
      <c r="Y211" s="35"/>
      <c r="Z211" s="35"/>
      <c r="AA211" s="35"/>
      <c r="AB211" s="35"/>
      <c r="AC211" s="35"/>
      <c r="AD211" s="35"/>
      <c r="AE211" s="35"/>
      <c r="AF211" s="35"/>
      <c r="AG211" s="35"/>
      <c r="AH211" s="35"/>
      <c r="AI211" s="35"/>
      <c r="AJ211" s="35"/>
      <c r="AK211" s="35"/>
      <c r="AL211" s="35"/>
      <c r="AM211" s="35"/>
      <c r="AN211" s="35"/>
      <c r="AO211" s="35"/>
      <c r="AP211" s="36"/>
      <c r="AQ211" s="36"/>
      <c r="AR211" s="36"/>
      <c r="AS211" s="36"/>
      <c r="AT211" s="36"/>
      <c r="AU211" s="36"/>
      <c r="AV211" s="36"/>
      <c r="AW211" s="36"/>
      <c r="AX211" s="36"/>
      <c r="AY211" s="36"/>
      <c r="AZ211" s="36"/>
      <c r="BA211" s="36"/>
      <c r="BB211" s="36"/>
      <c r="BC211" s="36"/>
      <c r="BD211" s="36"/>
      <c r="BE211" s="36"/>
      <c r="BF211" s="36"/>
      <c r="BG211" s="36"/>
    </row>
    <row r="212" spans="1:59" s="30" customFormat="1" ht="15" x14ac:dyDescent="0.2">
      <c r="A212" s="395"/>
      <c r="B212" s="52" t="s">
        <v>552</v>
      </c>
      <c r="C212" s="33"/>
      <c r="D212" s="81"/>
      <c r="G212" s="77"/>
      <c r="H212" s="81"/>
      <c r="M212" s="81"/>
      <c r="N212" s="81"/>
      <c r="O212" s="96"/>
      <c r="Q212" s="129"/>
      <c r="R212" s="43" t="s">
        <v>318</v>
      </c>
      <c r="S212" s="35"/>
      <c r="T212" s="35" t="s">
        <v>705</v>
      </c>
      <c r="U212" s="35"/>
      <c r="V212" s="35"/>
      <c r="W212" s="35"/>
      <c r="X212" s="35"/>
      <c r="Y212" s="35"/>
      <c r="Z212" s="35"/>
      <c r="AA212" s="35"/>
      <c r="AB212" s="35"/>
      <c r="AC212" s="35"/>
      <c r="AD212" s="35"/>
      <c r="AE212" s="35"/>
      <c r="AF212" s="35"/>
      <c r="AG212" s="35"/>
      <c r="AH212" s="35"/>
      <c r="AI212" s="35"/>
      <c r="AJ212" s="35"/>
      <c r="AK212" s="35"/>
      <c r="AL212" s="35"/>
      <c r="AM212" s="35"/>
      <c r="AN212" s="35"/>
      <c r="AO212" s="35"/>
      <c r="AP212" s="36"/>
      <c r="AQ212" s="36"/>
      <c r="AR212" s="36"/>
      <c r="AS212" s="36"/>
      <c r="AT212" s="36"/>
      <c r="AU212" s="36"/>
      <c r="AV212" s="36"/>
      <c r="AW212" s="36"/>
      <c r="AX212" s="36"/>
      <c r="AY212" s="36"/>
      <c r="AZ212" s="36"/>
      <c r="BA212" s="36"/>
      <c r="BB212" s="36"/>
      <c r="BC212" s="36"/>
      <c r="BD212" s="36"/>
      <c r="BE212" s="36"/>
      <c r="BF212" s="36"/>
      <c r="BG212" s="36"/>
    </row>
    <row r="213" spans="1:59" s="30" customFormat="1" ht="15" x14ac:dyDescent="0.2">
      <c r="A213" s="395"/>
      <c r="B213" s="44" t="s">
        <v>551</v>
      </c>
      <c r="C213" s="441"/>
      <c r="D213" s="81" t="s">
        <v>195</v>
      </c>
      <c r="G213" s="77"/>
      <c r="H213" s="81"/>
      <c r="M213" s="81"/>
      <c r="N213" s="81"/>
      <c r="O213" s="96"/>
      <c r="Q213" s="129"/>
      <c r="R213" s="191" t="str">
        <f>IF(AND(ISNUMBER(C213),ISNUMBER(C209)),IF(D209="vuosi",365*24,IF(D209="kuukausi",30*24,IF(D209="päivä",24,1)))*C209*T213,"")</f>
        <v/>
      </c>
      <c r="S213" s="98" t="s">
        <v>160</v>
      </c>
      <c r="T213" s="191" t="str">
        <f>IF(ISNUMBER(L207),L207,IF(C207="Ostosähkö",(Muut!$F$11+Muut!$F$13)/1000/K208,IF(C207="Aurinkopaneelit",(Muut!$F$25+Muut!$F$26)/1000/K208,IF(OR(C207="Bensiini",C207="Diesel"),(Muut!$F$16+Muut!$F$15+Muut!$F$18+Muut!$F$19)/2/K208,IF(C207="Aggregaatti","Aggregaatin kerroin","")))))</f>
        <v/>
      </c>
      <c r="U213" s="35"/>
      <c r="V213" s="35"/>
      <c r="W213" s="35"/>
      <c r="X213" s="35"/>
      <c r="Y213" s="35"/>
      <c r="Z213" s="35"/>
      <c r="AA213" s="35"/>
      <c r="AB213" s="35"/>
      <c r="AC213" s="35"/>
      <c r="AD213" s="35"/>
      <c r="AE213" s="35"/>
      <c r="AF213" s="35"/>
      <c r="AG213" s="35"/>
      <c r="AH213" s="35"/>
      <c r="AI213" s="35"/>
      <c r="AJ213" s="35"/>
      <c r="AK213" s="35"/>
      <c r="AL213" s="35"/>
      <c r="AM213" s="35"/>
      <c r="AN213" s="35"/>
      <c r="AO213" s="35"/>
      <c r="AP213" s="36"/>
      <c r="AQ213" s="36"/>
      <c r="AR213" s="36"/>
      <c r="AS213" s="36"/>
      <c r="AT213" s="36"/>
      <c r="AU213" s="36"/>
      <c r="AV213" s="36"/>
      <c r="AW213" s="36"/>
      <c r="AX213" s="36"/>
      <c r="AY213" s="36"/>
      <c r="AZ213" s="36"/>
      <c r="BA213" s="36"/>
      <c r="BB213" s="36"/>
      <c r="BC213" s="36"/>
      <c r="BD213" s="36"/>
      <c r="BE213" s="36"/>
      <c r="BF213" s="36"/>
      <c r="BG213" s="36"/>
    </row>
    <row r="214" spans="1:59" s="30" customFormat="1" ht="15" x14ac:dyDescent="0.2">
      <c r="D214" s="81"/>
      <c r="H214" s="81"/>
      <c r="M214" s="81"/>
      <c r="N214" s="81"/>
      <c r="O214" s="81"/>
      <c r="Q214" s="129"/>
      <c r="R214" s="94"/>
      <c r="S214" s="104"/>
      <c r="T214" s="36"/>
      <c r="U214" s="35"/>
      <c r="V214" s="35"/>
      <c r="W214" s="35"/>
      <c r="X214" s="35"/>
      <c r="Y214" s="35"/>
      <c r="Z214" s="35"/>
      <c r="AA214" s="35"/>
      <c r="AB214" s="35"/>
      <c r="AC214" s="35"/>
      <c r="AD214" s="35"/>
      <c r="AE214" s="35"/>
      <c r="AF214" s="35"/>
      <c r="AG214" s="35"/>
      <c r="AH214" s="35"/>
      <c r="AI214" s="35"/>
      <c r="AJ214" s="35"/>
      <c r="AK214" s="35"/>
      <c r="AL214" s="35"/>
      <c r="AM214" s="35"/>
      <c r="AN214" s="35"/>
      <c r="AO214" s="35"/>
      <c r="AP214" s="36"/>
      <c r="AQ214" s="36"/>
      <c r="AR214" s="36"/>
      <c r="AS214" s="36"/>
      <c r="AT214" s="36"/>
      <c r="AU214" s="36"/>
      <c r="AV214" s="36"/>
      <c r="AW214" s="36"/>
      <c r="AX214" s="36"/>
      <c r="AY214" s="36"/>
      <c r="AZ214" s="36"/>
      <c r="BA214" s="36"/>
      <c r="BB214" s="36"/>
      <c r="BC214" s="36"/>
      <c r="BD214" s="36"/>
      <c r="BE214" s="36"/>
      <c r="BF214" s="36"/>
      <c r="BG214" s="36"/>
    </row>
    <row r="215" spans="1:59" s="289" customFormat="1" ht="18" x14ac:dyDescent="0.2">
      <c r="B215" s="286" t="s">
        <v>289</v>
      </c>
      <c r="C215" s="287"/>
      <c r="D215" s="288"/>
      <c r="G215" s="287"/>
      <c r="H215" s="288"/>
      <c r="I215" s="288"/>
      <c r="K215" s="287"/>
      <c r="L215" s="287"/>
      <c r="M215" s="288"/>
      <c r="N215" s="288"/>
      <c r="O215" s="291"/>
      <c r="P215" s="311"/>
      <c r="Q215" s="295"/>
      <c r="S215" s="294"/>
      <c r="T215" s="294"/>
      <c r="U215" s="294"/>
      <c r="V215" s="294"/>
      <c r="W215" s="294"/>
      <c r="X215" s="294"/>
      <c r="Y215" s="294"/>
      <c r="Z215" s="294"/>
      <c r="AA215" s="294"/>
      <c r="AB215" s="294"/>
      <c r="AC215" s="294"/>
      <c r="AD215" s="294"/>
      <c r="AE215" s="294"/>
      <c r="AF215" s="294"/>
      <c r="AG215" s="294"/>
      <c r="AH215" s="294"/>
      <c r="AI215" s="294"/>
      <c r="AJ215" s="294"/>
      <c r="AK215" s="294"/>
      <c r="AL215" s="294"/>
      <c r="AM215" s="294"/>
      <c r="AN215" s="295"/>
      <c r="AO215" s="295"/>
      <c r="AP215" s="295"/>
      <c r="AQ215" s="295"/>
      <c r="AR215" s="295"/>
      <c r="AS215" s="295"/>
      <c r="AT215" s="295"/>
      <c r="AU215" s="295"/>
      <c r="AV215" s="295"/>
      <c r="AW215" s="295"/>
      <c r="AX215" s="295"/>
      <c r="AY215" s="295"/>
      <c r="AZ215" s="295"/>
      <c r="BA215" s="295"/>
      <c r="BB215" s="295"/>
      <c r="BC215" s="295"/>
      <c r="BD215" s="295"/>
      <c r="BE215" s="295"/>
    </row>
    <row r="216" spans="1:59" s="30" customFormat="1" ht="15.75" x14ac:dyDescent="0.2">
      <c r="B216" s="8"/>
      <c r="C216" s="33"/>
      <c r="D216" s="81"/>
      <c r="G216" s="33"/>
      <c r="H216" s="81"/>
      <c r="J216" s="32"/>
      <c r="M216" s="81"/>
      <c r="N216" s="81"/>
      <c r="O216" s="249" t="s">
        <v>584</v>
      </c>
      <c r="Q216" s="34"/>
      <c r="R216" s="43" t="s">
        <v>318</v>
      </c>
      <c r="S216" s="35"/>
      <c r="T216" s="43"/>
      <c r="U216" s="43"/>
      <c r="V216" s="43"/>
      <c r="W216" s="43"/>
      <c r="X216" s="43"/>
      <c r="Y216" s="43"/>
      <c r="Z216" s="43"/>
      <c r="AA216" s="43"/>
      <c r="AB216" s="43"/>
      <c r="AC216" s="43"/>
      <c r="AD216" s="43"/>
      <c r="AE216" s="35"/>
      <c r="AF216" s="35"/>
      <c r="AG216" s="35"/>
      <c r="AH216" s="35"/>
      <c r="AI216" s="35"/>
      <c r="AJ216" s="35"/>
      <c r="AK216" s="35"/>
      <c r="AL216" s="35"/>
      <c r="AM216" s="35"/>
      <c r="AN216" s="36"/>
      <c r="AO216" s="36"/>
      <c r="AP216" s="36"/>
      <c r="AQ216" s="36"/>
      <c r="AR216" s="36"/>
      <c r="AS216" s="36"/>
      <c r="AT216" s="36"/>
      <c r="AU216" s="36"/>
      <c r="AV216" s="36"/>
      <c r="AW216" s="36"/>
      <c r="AX216" s="36"/>
      <c r="AY216" s="36"/>
      <c r="AZ216" s="36"/>
      <c r="BA216" s="36"/>
      <c r="BB216" s="36"/>
      <c r="BC216" s="36"/>
      <c r="BD216" s="36"/>
      <c r="BE216" s="36"/>
    </row>
    <row r="217" spans="1:59" s="30" customFormat="1" ht="15" customHeight="1" x14ac:dyDescent="0.2">
      <c r="B217" s="30" t="s">
        <v>753</v>
      </c>
      <c r="J217" s="32"/>
      <c r="K217" s="37"/>
      <c r="L217" s="37"/>
      <c r="M217" s="81"/>
      <c r="N217" s="81"/>
      <c r="O217" s="249"/>
      <c r="Q217" s="34"/>
      <c r="R217" s="35"/>
      <c r="S217" s="35"/>
      <c r="T217" s="35"/>
      <c r="U217" s="35"/>
      <c r="V217" s="35"/>
      <c r="W217" s="35"/>
      <c r="X217" s="35"/>
      <c r="Y217" s="35"/>
      <c r="Z217" s="35"/>
      <c r="AA217" s="35"/>
      <c r="AB217" s="35"/>
      <c r="AC217" s="35"/>
      <c r="AD217" s="35"/>
      <c r="AE217" s="35"/>
      <c r="AF217" s="35"/>
      <c r="AG217" s="35"/>
      <c r="AH217" s="35"/>
      <c r="AI217" s="35"/>
      <c r="AJ217" s="35"/>
      <c r="AK217" s="36"/>
      <c r="AL217" s="36"/>
      <c r="AM217" s="36"/>
      <c r="AN217" s="36"/>
      <c r="AO217" s="36"/>
      <c r="AP217" s="36"/>
      <c r="AQ217" s="36"/>
      <c r="AR217" s="36"/>
      <c r="AS217" s="36"/>
      <c r="AT217" s="36"/>
      <c r="AU217" s="36"/>
      <c r="AV217" s="36"/>
      <c r="AW217" s="36"/>
      <c r="AX217" s="36"/>
      <c r="AY217" s="36"/>
      <c r="AZ217" s="36"/>
      <c r="BA217" s="36"/>
      <c r="BB217" s="36"/>
    </row>
    <row r="218" spans="1:59" s="30" customFormat="1" ht="15.75" x14ac:dyDescent="0.2">
      <c r="A218" s="395"/>
      <c r="B218" s="8"/>
      <c r="C218" s="33"/>
      <c r="D218" s="81"/>
      <c r="G218" s="33"/>
      <c r="J218" s="32"/>
      <c r="K218" s="37" t="s">
        <v>297</v>
      </c>
      <c r="L218" s="37" t="s">
        <v>185</v>
      </c>
      <c r="M218" s="33"/>
      <c r="N218" s="33"/>
      <c r="O218" s="249" t="s">
        <v>584</v>
      </c>
      <c r="Q218" s="129"/>
      <c r="R218" s="35" t="s">
        <v>318</v>
      </c>
      <c r="S218" s="35"/>
      <c r="T218" s="36"/>
      <c r="U218" s="35"/>
      <c r="V218" s="35"/>
      <c r="W218" s="35"/>
      <c r="X218" s="35"/>
      <c r="Y218" s="35"/>
      <c r="Z218" s="35"/>
      <c r="AA218" s="35"/>
      <c r="AB218" s="35"/>
      <c r="AC218" s="35"/>
      <c r="AD218" s="35"/>
      <c r="AE218" s="35"/>
      <c r="AF218" s="35"/>
      <c r="AG218" s="35"/>
      <c r="AH218" s="35"/>
      <c r="AI218" s="35"/>
      <c r="AJ218" s="35"/>
      <c r="AK218" s="35"/>
      <c r="AL218" s="35"/>
      <c r="AM218" s="35"/>
      <c r="AN218" s="35"/>
      <c r="AO218" s="35"/>
      <c r="AP218" s="36"/>
      <c r="AQ218" s="36"/>
      <c r="AR218" s="36"/>
      <c r="AS218" s="36"/>
      <c r="AT218" s="36"/>
      <c r="AU218" s="36"/>
      <c r="AV218" s="36"/>
      <c r="AW218" s="36"/>
      <c r="AX218" s="36"/>
      <c r="AY218" s="36"/>
      <c r="AZ218" s="36"/>
      <c r="BA218" s="36"/>
      <c r="BB218" s="36"/>
      <c r="BC218" s="36"/>
      <c r="BD218" s="36"/>
      <c r="BE218" s="36"/>
      <c r="BF218" s="36"/>
      <c r="BG218" s="36"/>
    </row>
    <row r="219" spans="1:59" s="30" customFormat="1" ht="30" x14ac:dyDescent="0.2">
      <c r="A219" s="395"/>
      <c r="B219" s="76" t="s">
        <v>549</v>
      </c>
      <c r="C219" s="471" t="s">
        <v>265</v>
      </c>
      <c r="D219" s="473"/>
      <c r="E219" s="33"/>
      <c r="G219" s="33"/>
      <c r="H219" s="81"/>
      <c r="J219" s="32" t="s">
        <v>483</v>
      </c>
      <c r="K219" s="92" t="str">
        <f>IF(ISNUMBER(L219),L219,IF(C219=Pudotusvalikot!$Z$3,"--",IF(C219=Pudotusvalikot!$Z$4,Muut!$F$11/1000+Muut!$F$13/1000,IF(C219=Pudotusvalikot!$Z$5,Muut!$F$25+Muut!$F$26,IF(C219=Pudotusvalikot!$Z$6,Muut!$F$16+Muut!$F$19,Muut!$F$15+Muut!$F$18)))))</f>
        <v>--</v>
      </c>
      <c r="L219" s="71"/>
      <c r="M219" s="83" t="str">
        <f>IF(ISNUMBER(L219),"gCO2/e-yksikkö",IF(C219=Pudotusvalikot!$R$3,"--",IF(C219=Pudotusvalikot!$R$4,"gCO2/kWh",IF(C219=Pudotusvalikot!$R$5,"kgCO2/h",IF(C219=Pudotusvalikot!$R$6,"gCO2/kWh",IF(C219=Pudotusvalikot!$R$7,"kgCO2/l","kgCO2/kWh"))))))</f>
        <v>kgCO2/kWh</v>
      </c>
      <c r="N219" s="83"/>
      <c r="O219" s="250"/>
      <c r="Q219" s="129"/>
      <c r="R219" s="105" t="str">
        <f>IF(ISNUMBER(R223),R223,IF(ISNUMBER(R225),R225,""))</f>
        <v/>
      </c>
      <c r="S219" s="98" t="s">
        <v>160</v>
      </c>
      <c r="T219" s="35"/>
      <c r="U219" s="35"/>
      <c r="V219" s="35"/>
      <c r="W219" s="35"/>
      <c r="X219" s="35"/>
      <c r="Y219" s="35"/>
      <c r="Z219" s="35"/>
      <c r="AA219" s="35"/>
      <c r="AB219" s="35"/>
      <c r="AC219" s="35"/>
      <c r="AD219" s="35"/>
      <c r="AE219" s="35"/>
      <c r="AF219" s="35"/>
      <c r="AG219" s="35"/>
      <c r="AH219" s="35"/>
      <c r="AI219" s="35"/>
      <c r="AJ219" s="35"/>
      <c r="AK219" s="35"/>
      <c r="AL219" s="35"/>
      <c r="AM219" s="35"/>
      <c r="AN219" s="35"/>
      <c r="AO219" s="35"/>
      <c r="AP219" s="36"/>
      <c r="AQ219" s="36"/>
      <c r="AR219" s="36"/>
      <c r="AS219" s="36"/>
      <c r="AT219" s="36"/>
      <c r="AU219" s="36"/>
      <c r="AV219" s="36"/>
      <c r="AW219" s="36"/>
      <c r="AX219" s="36"/>
      <c r="AY219" s="36"/>
      <c r="AZ219" s="36"/>
      <c r="BA219" s="36"/>
      <c r="BB219" s="36"/>
      <c r="BC219" s="36"/>
      <c r="BD219" s="36"/>
      <c r="BE219" s="36"/>
      <c r="BF219" s="36"/>
      <c r="BG219" s="36"/>
    </row>
    <row r="220" spans="1:59" s="30" customFormat="1" ht="15" x14ac:dyDescent="0.2">
      <c r="A220" s="395"/>
      <c r="B220" s="166" t="s">
        <v>485</v>
      </c>
      <c r="C220" s="156"/>
      <c r="D220" s="81" t="s">
        <v>8</v>
      </c>
      <c r="G220" s="33"/>
      <c r="H220" s="81"/>
      <c r="J220" s="32" t="s">
        <v>486</v>
      </c>
      <c r="K220" s="382">
        <f>IF(ISNUMBER(L220),L220,IF(OR(C219="Bensiini",C219="Diesel"),Muut!$F$35,Muut!$F$36))</f>
        <v>0.4</v>
      </c>
      <c r="L220" s="382" t="str">
        <f>IF(ISNUMBER(C220),C220/100,"--")</f>
        <v>--</v>
      </c>
      <c r="M220" s="83"/>
      <c r="N220" s="83"/>
      <c r="O220" s="260"/>
      <c r="Q220" s="34"/>
      <c r="R220" s="59"/>
      <c r="S220" s="98"/>
      <c r="T220" s="35"/>
      <c r="U220" s="35"/>
      <c r="V220" s="35"/>
      <c r="W220" s="35"/>
      <c r="X220" s="35"/>
      <c r="Y220" s="35"/>
      <c r="Z220" s="35"/>
      <c r="AA220" s="35"/>
      <c r="AB220" s="35"/>
      <c r="AC220" s="35"/>
      <c r="AD220" s="35"/>
      <c r="AE220" s="35"/>
      <c r="AF220" s="35"/>
      <c r="AG220" s="35"/>
      <c r="AH220" s="35"/>
      <c r="AI220" s="35"/>
      <c r="AJ220" s="35"/>
      <c r="AK220" s="35"/>
      <c r="AL220" s="35"/>
      <c r="AM220" s="35"/>
      <c r="AN220" s="36"/>
      <c r="AO220" s="36"/>
      <c r="AP220" s="36"/>
      <c r="AQ220" s="36"/>
      <c r="AR220" s="36"/>
      <c r="AS220" s="36"/>
      <c r="AT220" s="36"/>
      <c r="AU220" s="36"/>
      <c r="AV220" s="36"/>
      <c r="AW220" s="36"/>
      <c r="AX220" s="36"/>
      <c r="AY220" s="36"/>
      <c r="AZ220" s="36"/>
      <c r="BA220" s="36"/>
      <c r="BB220" s="36"/>
      <c r="BC220" s="36"/>
      <c r="BD220" s="36"/>
      <c r="BE220" s="36"/>
    </row>
    <row r="221" spans="1:59" s="30" customFormat="1" ht="15" x14ac:dyDescent="0.2">
      <c r="A221" s="395"/>
      <c r="B221" s="52" t="s">
        <v>283</v>
      </c>
      <c r="C221" s="156"/>
      <c r="D221" s="86" t="s">
        <v>268</v>
      </c>
      <c r="E221" s="77"/>
      <c r="G221" s="77"/>
      <c r="H221" s="81"/>
      <c r="M221" s="81"/>
      <c r="N221" s="81"/>
      <c r="O221" s="96"/>
      <c r="Q221" s="129"/>
      <c r="R221" s="9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c r="AO221" s="35"/>
      <c r="AP221" s="36"/>
      <c r="AQ221" s="36"/>
      <c r="AR221" s="36"/>
      <c r="AS221" s="36"/>
      <c r="AT221" s="36"/>
      <c r="AU221" s="36"/>
      <c r="AV221" s="36"/>
      <c r="AW221" s="36"/>
      <c r="AX221" s="36"/>
      <c r="AY221" s="36"/>
      <c r="AZ221" s="36"/>
      <c r="BA221" s="36"/>
      <c r="BB221" s="36"/>
      <c r="BC221" s="36"/>
      <c r="BD221" s="36"/>
      <c r="BE221" s="36"/>
      <c r="BF221" s="36"/>
      <c r="BG221" s="36"/>
    </row>
    <row r="222" spans="1:59" s="30" customFormat="1" ht="15" x14ac:dyDescent="0.2">
      <c r="A222" s="395"/>
      <c r="B222" s="52" t="s">
        <v>548</v>
      </c>
      <c r="C222" s="33"/>
      <c r="D222" s="81"/>
      <c r="G222" s="33"/>
      <c r="H222" s="81"/>
      <c r="J222" s="32"/>
      <c r="K222" s="37"/>
      <c r="L222" s="37"/>
      <c r="M222" s="81"/>
      <c r="N222" s="81"/>
      <c r="O222" s="96"/>
      <c r="Q222" s="129"/>
      <c r="R222" s="43" t="s">
        <v>318</v>
      </c>
      <c r="S222" s="35"/>
      <c r="T222" s="35" t="s">
        <v>171</v>
      </c>
      <c r="U222" s="35"/>
      <c r="V222" s="104"/>
      <c r="W222" s="104"/>
      <c r="X222" s="35"/>
      <c r="Y222" s="35"/>
      <c r="Z222" s="35"/>
      <c r="AA222" s="35"/>
      <c r="AB222" s="35"/>
      <c r="AC222" s="35"/>
      <c r="AD222" s="35"/>
      <c r="AE222" s="35"/>
      <c r="AF222" s="35"/>
      <c r="AG222" s="35"/>
      <c r="AH222" s="35"/>
      <c r="AI222" s="35"/>
      <c r="AJ222" s="35"/>
      <c r="AK222" s="35"/>
      <c r="AL222" s="35"/>
      <c r="AM222" s="35"/>
      <c r="AN222" s="35"/>
      <c r="AO222" s="35"/>
      <c r="AP222" s="36"/>
      <c r="AQ222" s="36"/>
      <c r="AR222" s="36"/>
      <c r="AS222" s="36"/>
      <c r="AT222" s="36"/>
      <c r="AU222" s="36"/>
      <c r="AV222" s="36"/>
      <c r="AW222" s="36"/>
      <c r="AX222" s="36"/>
      <c r="AY222" s="36"/>
      <c r="AZ222" s="36"/>
      <c r="BA222" s="36"/>
      <c r="BB222" s="36"/>
      <c r="BC222" s="36"/>
      <c r="BD222" s="36"/>
      <c r="BE222" s="36"/>
      <c r="BF222" s="36"/>
      <c r="BG222" s="36"/>
    </row>
    <row r="223" spans="1:59" s="30" customFormat="1" ht="30" x14ac:dyDescent="0.2">
      <c r="A223" s="395"/>
      <c r="B223" s="166" t="s">
        <v>553</v>
      </c>
      <c r="C223" s="152"/>
      <c r="D223" s="81" t="s">
        <v>264</v>
      </c>
      <c r="E223" s="33"/>
      <c r="G223" s="33"/>
      <c r="H223" s="81"/>
      <c r="M223" s="81"/>
      <c r="N223" s="81"/>
      <c r="O223" s="96"/>
      <c r="Q223" s="129"/>
      <c r="R223" s="191" t="str">
        <f>IF(ISNUMBER(C223),IF(AND(ISNUMBER(C221),C219="Aggregaatti"),C221*IF(D221="vuosi",365*24,IF(D221="kuukausi",30*24,IF(D221="päivä",24,1)))*T223,IF(C219="Aggregaatti",C223*(Muut!$F$15+Muut!$F$19),C223*T223)),"")</f>
        <v/>
      </c>
      <c r="S223" s="98" t="s">
        <v>160</v>
      </c>
      <c r="T223" s="191" t="str">
        <f>IF(ISNUMBER(C223),K219,"")</f>
        <v/>
      </c>
      <c r="U223" s="35"/>
      <c r="V223" s="104"/>
      <c r="W223" s="104"/>
      <c r="X223" s="35"/>
      <c r="Y223" s="35"/>
      <c r="Z223" s="35"/>
      <c r="AA223" s="35"/>
      <c r="AB223" s="35"/>
      <c r="AC223" s="35"/>
      <c r="AD223" s="35"/>
      <c r="AE223" s="35"/>
      <c r="AF223" s="35"/>
      <c r="AG223" s="35"/>
      <c r="AH223" s="35"/>
      <c r="AI223" s="35"/>
      <c r="AJ223" s="35"/>
      <c r="AK223" s="35"/>
      <c r="AL223" s="35"/>
      <c r="AM223" s="35"/>
      <c r="AN223" s="35"/>
      <c r="AO223" s="35"/>
      <c r="AP223" s="36"/>
      <c r="AQ223" s="36"/>
      <c r="AR223" s="36"/>
      <c r="AS223" s="36"/>
      <c r="AT223" s="36"/>
      <c r="AU223" s="36"/>
      <c r="AV223" s="36"/>
      <c r="AW223" s="36"/>
      <c r="AX223" s="36"/>
      <c r="AY223" s="36"/>
      <c r="AZ223" s="36"/>
      <c r="BA223" s="36"/>
      <c r="BB223" s="36"/>
      <c r="BC223" s="36"/>
      <c r="BD223" s="36"/>
      <c r="BE223" s="36"/>
      <c r="BF223" s="36"/>
      <c r="BG223" s="36"/>
    </row>
    <row r="224" spans="1:59" s="30" customFormat="1" ht="15" x14ac:dyDescent="0.2">
      <c r="A224" s="395"/>
      <c r="B224" s="52" t="s">
        <v>552</v>
      </c>
      <c r="C224" s="33"/>
      <c r="D224" s="81"/>
      <c r="G224" s="77"/>
      <c r="H224" s="81"/>
      <c r="M224" s="81"/>
      <c r="N224" s="81"/>
      <c r="O224" s="96"/>
      <c r="Q224" s="129"/>
      <c r="R224" s="43" t="s">
        <v>318</v>
      </c>
      <c r="S224" s="35"/>
      <c r="T224" s="35" t="s">
        <v>705</v>
      </c>
      <c r="U224" s="35"/>
      <c r="V224" s="104"/>
      <c r="W224" s="104"/>
      <c r="X224" s="35"/>
      <c r="Y224" s="35"/>
      <c r="Z224" s="35"/>
      <c r="AA224" s="35"/>
      <c r="AB224" s="35"/>
      <c r="AC224" s="35"/>
      <c r="AD224" s="35"/>
      <c r="AE224" s="35"/>
      <c r="AF224" s="35"/>
      <c r="AG224" s="35"/>
      <c r="AH224" s="35"/>
      <c r="AI224" s="35"/>
      <c r="AJ224" s="35"/>
      <c r="AK224" s="35"/>
      <c r="AL224" s="35"/>
      <c r="AM224" s="35"/>
      <c r="AN224" s="35"/>
      <c r="AO224" s="35"/>
      <c r="AP224" s="36"/>
      <c r="AQ224" s="36"/>
      <c r="AR224" s="36"/>
      <c r="AS224" s="36"/>
      <c r="AT224" s="36"/>
      <c r="AU224" s="36"/>
      <c r="AV224" s="36"/>
      <c r="AW224" s="36"/>
      <c r="AX224" s="36"/>
      <c r="AY224" s="36"/>
      <c r="AZ224" s="36"/>
      <c r="BA224" s="36"/>
      <c r="BB224" s="36"/>
      <c r="BC224" s="36"/>
      <c r="BD224" s="36"/>
      <c r="BE224" s="36"/>
      <c r="BF224" s="36"/>
      <c r="BG224" s="36"/>
    </row>
    <row r="225" spans="1:59" s="30" customFormat="1" ht="15" x14ac:dyDescent="0.2">
      <c r="A225" s="395"/>
      <c r="B225" s="44" t="s">
        <v>551</v>
      </c>
      <c r="C225" s="441"/>
      <c r="D225" s="81" t="s">
        <v>195</v>
      </c>
      <c r="G225" s="77"/>
      <c r="H225" s="81"/>
      <c r="M225" s="81"/>
      <c r="N225" s="81"/>
      <c r="O225" s="96"/>
      <c r="Q225" s="129"/>
      <c r="R225" s="191" t="str">
        <f>IF(AND(ISNUMBER(C225),ISNUMBER(C221)),IF(D221="vuosi",365*24,IF(D221="kuukausi",30*24,IF(D221="päivä",24,1)))*C221*T225,"")</f>
        <v/>
      </c>
      <c r="S225" s="98" t="s">
        <v>160</v>
      </c>
      <c r="T225" s="191" t="str">
        <f>IF(ISNUMBER(L219),L219,IF(C219="Ostosähkö",(Muut!$F$11+Muut!$F$13)/1000/K220,IF(C219="Aurinkopaneelit",(Muut!$F$25+Muut!$F$26)/1000/K220,IF(OR(C219="Bensiini",C219="Diesel"),(Muut!$F$16+Muut!$F$15+Muut!$F$18+Muut!$F$19)/2/K220,IF(C219="Aggregaatti","Aggregaatin kerroin","")))))</f>
        <v/>
      </c>
      <c r="U225" s="35"/>
      <c r="V225" s="104"/>
      <c r="W225" s="104"/>
      <c r="X225" s="35"/>
      <c r="Y225" s="35"/>
      <c r="Z225" s="35"/>
      <c r="AA225" s="35"/>
      <c r="AB225" s="35"/>
      <c r="AC225" s="35"/>
      <c r="AD225" s="35"/>
      <c r="AE225" s="35"/>
      <c r="AF225" s="35"/>
      <c r="AG225" s="35"/>
      <c r="AH225" s="35"/>
      <c r="AI225" s="35"/>
      <c r="AJ225" s="35"/>
      <c r="AK225" s="35"/>
      <c r="AL225" s="35"/>
      <c r="AM225" s="35"/>
      <c r="AN225" s="35"/>
      <c r="AO225" s="35"/>
      <c r="AP225" s="36"/>
      <c r="AQ225" s="36"/>
      <c r="AR225" s="36"/>
      <c r="AS225" s="36"/>
      <c r="AT225" s="36"/>
      <c r="AU225" s="36"/>
      <c r="AV225" s="36"/>
      <c r="AW225" s="36"/>
      <c r="AX225" s="36"/>
      <c r="AY225" s="36"/>
      <c r="AZ225" s="36"/>
      <c r="BA225" s="36"/>
      <c r="BB225" s="36"/>
      <c r="BC225" s="36"/>
      <c r="BD225" s="36"/>
      <c r="BE225" s="36"/>
      <c r="BF225" s="36"/>
      <c r="BG225" s="36"/>
    </row>
    <row r="226" spans="1:59" s="30" customFormat="1" ht="15" x14ac:dyDescent="0.2">
      <c r="D226" s="81"/>
      <c r="H226" s="81"/>
      <c r="M226" s="81"/>
      <c r="N226" s="81"/>
      <c r="O226" s="81"/>
      <c r="Q226" s="129"/>
      <c r="R226" s="94"/>
      <c r="S226" s="104"/>
      <c r="T226" s="36"/>
      <c r="U226" s="35"/>
      <c r="V226" s="35"/>
      <c r="W226" s="35"/>
      <c r="X226" s="35"/>
      <c r="Y226" s="35"/>
      <c r="Z226" s="35"/>
      <c r="AA226" s="35"/>
      <c r="AB226" s="35"/>
      <c r="AC226" s="35"/>
      <c r="AD226" s="35"/>
      <c r="AE226" s="35"/>
      <c r="AF226" s="35"/>
      <c r="AG226" s="35"/>
      <c r="AH226" s="35"/>
      <c r="AI226" s="35"/>
      <c r="AJ226" s="35"/>
      <c r="AK226" s="35"/>
      <c r="AL226" s="35"/>
      <c r="AM226" s="35"/>
      <c r="AN226" s="35"/>
      <c r="AO226" s="35"/>
      <c r="AP226" s="36"/>
      <c r="AQ226" s="36"/>
      <c r="AR226" s="36"/>
      <c r="AS226" s="36"/>
      <c r="AT226" s="36"/>
      <c r="AU226" s="36"/>
      <c r="AV226" s="36"/>
      <c r="AW226" s="36"/>
      <c r="AX226" s="36"/>
      <c r="AY226" s="36"/>
      <c r="AZ226" s="36"/>
      <c r="BA226" s="36"/>
      <c r="BB226" s="36"/>
      <c r="BC226" s="36"/>
      <c r="BD226" s="36"/>
      <c r="BE226" s="36"/>
      <c r="BF226" s="36"/>
      <c r="BG226" s="36"/>
    </row>
    <row r="227" spans="1:59" s="289" customFormat="1" ht="18" x14ac:dyDescent="0.2">
      <c r="B227" s="286" t="s">
        <v>288</v>
      </c>
      <c r="C227" s="287"/>
      <c r="D227" s="288"/>
      <c r="G227" s="287"/>
      <c r="H227" s="288"/>
      <c r="I227" s="288"/>
      <c r="K227" s="287"/>
      <c r="L227" s="287"/>
      <c r="M227" s="288"/>
      <c r="N227" s="288"/>
      <c r="O227" s="291"/>
      <c r="P227" s="311"/>
      <c r="Q227" s="295"/>
      <c r="S227" s="294"/>
      <c r="T227" s="294"/>
      <c r="U227" s="294"/>
      <c r="V227" s="294"/>
      <c r="W227" s="294"/>
      <c r="X227" s="294"/>
      <c r="Y227" s="294"/>
      <c r="Z227" s="294"/>
      <c r="AA227" s="294"/>
      <c r="AB227" s="294"/>
      <c r="AC227" s="294"/>
      <c r="AD227" s="294"/>
      <c r="AE227" s="294"/>
      <c r="AF227" s="294"/>
      <c r="AG227" s="294"/>
      <c r="AH227" s="294"/>
      <c r="AI227" s="294"/>
      <c r="AJ227" s="294"/>
      <c r="AK227" s="294"/>
      <c r="AL227" s="294"/>
      <c r="AM227" s="294"/>
      <c r="AN227" s="295"/>
      <c r="AO227" s="295"/>
      <c r="AP227" s="295"/>
      <c r="AQ227" s="295"/>
      <c r="AR227" s="295"/>
      <c r="AS227" s="295"/>
      <c r="AT227" s="295"/>
      <c r="AU227" s="295"/>
      <c r="AV227" s="295"/>
      <c r="AW227" s="295"/>
      <c r="AX227" s="295"/>
      <c r="AY227" s="295"/>
      <c r="AZ227" s="295"/>
      <c r="BA227" s="295"/>
      <c r="BB227" s="295"/>
      <c r="BC227" s="295"/>
      <c r="BD227" s="295"/>
      <c r="BE227" s="295"/>
    </row>
    <row r="228" spans="1:59" s="30" customFormat="1" ht="15.75" x14ac:dyDescent="0.2">
      <c r="B228" s="8"/>
      <c r="C228" s="33"/>
      <c r="D228" s="81"/>
      <c r="G228" s="33"/>
      <c r="H228" s="81"/>
      <c r="J228" s="32"/>
      <c r="M228" s="81"/>
      <c r="N228" s="81"/>
      <c r="O228" s="249" t="s">
        <v>584</v>
      </c>
      <c r="Q228" s="34"/>
      <c r="R228" s="43" t="s">
        <v>318</v>
      </c>
      <c r="S228" s="35"/>
      <c r="T228" s="43"/>
      <c r="U228" s="43"/>
      <c r="V228" s="43"/>
      <c r="W228" s="43"/>
      <c r="X228" s="43"/>
      <c r="Y228" s="43"/>
      <c r="Z228" s="43"/>
      <c r="AA228" s="43"/>
      <c r="AB228" s="43"/>
      <c r="AC228" s="43"/>
      <c r="AD228" s="43"/>
      <c r="AE228" s="35"/>
      <c r="AF228" s="35"/>
      <c r="AG228" s="35"/>
      <c r="AH228" s="35"/>
      <c r="AI228" s="35"/>
      <c r="AJ228" s="35"/>
      <c r="AK228" s="35"/>
      <c r="AL228" s="35"/>
      <c r="AM228" s="35"/>
      <c r="AN228" s="36"/>
      <c r="AO228" s="36"/>
      <c r="AP228" s="36"/>
      <c r="AQ228" s="36"/>
      <c r="AR228" s="36"/>
      <c r="AS228" s="36"/>
      <c r="AT228" s="36"/>
      <c r="AU228" s="36"/>
      <c r="AV228" s="36"/>
      <c r="AW228" s="36"/>
      <c r="AX228" s="36"/>
      <c r="AY228" s="36"/>
      <c r="AZ228" s="36"/>
      <c r="BA228" s="36"/>
      <c r="BB228" s="36"/>
      <c r="BC228" s="36"/>
      <c r="BD228" s="36"/>
      <c r="BE228" s="36"/>
    </row>
    <row r="229" spans="1:59" s="30" customFormat="1" ht="15" customHeight="1" x14ac:dyDescent="0.2">
      <c r="B229" s="30" t="s">
        <v>753</v>
      </c>
      <c r="J229" s="32"/>
      <c r="K229" s="37"/>
      <c r="L229" s="37"/>
      <c r="M229" s="81"/>
      <c r="N229" s="81"/>
      <c r="O229" s="249"/>
      <c r="Q229" s="34"/>
      <c r="R229" s="35"/>
      <c r="S229" s="35"/>
      <c r="T229" s="35"/>
      <c r="U229" s="35"/>
      <c r="V229" s="35"/>
      <c r="W229" s="35"/>
      <c r="X229" s="35"/>
      <c r="Y229" s="35"/>
      <c r="Z229" s="35"/>
      <c r="AA229" s="35"/>
      <c r="AB229" s="35"/>
      <c r="AC229" s="35"/>
      <c r="AD229" s="35"/>
      <c r="AE229" s="35"/>
      <c r="AF229" s="35"/>
      <c r="AG229" s="35"/>
      <c r="AH229" s="35"/>
      <c r="AI229" s="35"/>
      <c r="AJ229" s="35"/>
      <c r="AK229" s="36"/>
      <c r="AL229" s="36"/>
      <c r="AM229" s="36"/>
      <c r="AN229" s="36"/>
      <c r="AO229" s="36"/>
      <c r="AP229" s="36"/>
      <c r="AQ229" s="36"/>
      <c r="AR229" s="36"/>
      <c r="AS229" s="36"/>
      <c r="AT229" s="36"/>
      <c r="AU229" s="36"/>
      <c r="AV229" s="36"/>
      <c r="AW229" s="36"/>
      <c r="AX229" s="36"/>
      <c r="AY229" s="36"/>
      <c r="AZ229" s="36"/>
      <c r="BA229" s="36"/>
      <c r="BB229" s="36"/>
    </row>
    <row r="230" spans="1:59" s="30" customFormat="1" ht="15.75" x14ac:dyDescent="0.2">
      <c r="B230" s="8"/>
      <c r="C230" s="33"/>
      <c r="D230" s="81"/>
      <c r="G230" s="33"/>
      <c r="H230" s="81"/>
      <c r="J230" s="32"/>
      <c r="K230" s="37" t="s">
        <v>297</v>
      </c>
      <c r="L230" s="37" t="s">
        <v>185</v>
      </c>
      <c r="M230" s="81"/>
      <c r="N230" s="81"/>
      <c r="O230" s="249" t="s">
        <v>584</v>
      </c>
      <c r="Q230" s="129"/>
      <c r="R230" s="35" t="s">
        <v>318</v>
      </c>
      <c r="S230" s="35"/>
      <c r="T230" s="36"/>
      <c r="U230" s="35"/>
      <c r="V230" s="35"/>
      <c r="W230" s="35"/>
      <c r="X230" s="35"/>
      <c r="Y230" s="35"/>
      <c r="Z230" s="35"/>
      <c r="AA230" s="35"/>
      <c r="AB230" s="35"/>
      <c r="AC230" s="35"/>
      <c r="AD230" s="35"/>
      <c r="AE230" s="35"/>
      <c r="AF230" s="35"/>
      <c r="AG230" s="35"/>
      <c r="AH230" s="35"/>
      <c r="AI230" s="35"/>
      <c r="AJ230" s="35"/>
      <c r="AK230" s="35"/>
      <c r="AL230" s="35"/>
      <c r="AM230" s="35"/>
      <c r="AN230" s="35"/>
      <c r="AO230" s="35"/>
      <c r="AP230" s="36"/>
      <c r="AQ230" s="36"/>
      <c r="AR230" s="36"/>
      <c r="AS230" s="36"/>
      <c r="AT230" s="36"/>
      <c r="AU230" s="36"/>
      <c r="AV230" s="36"/>
      <c r="AW230" s="36"/>
      <c r="AX230" s="36"/>
      <c r="AY230" s="36"/>
      <c r="AZ230" s="36"/>
      <c r="BA230" s="36"/>
      <c r="BB230" s="36"/>
      <c r="BC230" s="36"/>
      <c r="BD230" s="36"/>
      <c r="BE230" s="36"/>
      <c r="BF230" s="36"/>
      <c r="BG230" s="36"/>
    </row>
    <row r="231" spans="1:59" s="30" customFormat="1" ht="15" x14ac:dyDescent="0.2">
      <c r="A231" s="395"/>
      <c r="B231" s="76" t="s">
        <v>549</v>
      </c>
      <c r="C231" s="471" t="s">
        <v>265</v>
      </c>
      <c r="D231" s="473"/>
      <c r="E231" s="33"/>
      <c r="G231" s="33"/>
      <c r="H231" s="81"/>
      <c r="J231" s="32" t="s">
        <v>483</v>
      </c>
      <c r="K231" s="92" t="str">
        <f>IF(ISNUMBER(L231),L231,IF(C231=Pudotusvalikot!$Z$3,"--",IF(C231=Pudotusvalikot!$Z$4,Muut!$F$11/1000+Muut!$F$13/1000,IF(C231=Pudotusvalikot!$Z$5,Muut!$F$25/1000+Muut!$F$26/1000,IF(C231=Pudotusvalikot!$Z$6,Muut!$F$16+Muut!$F$19,Muut!$F$15+Muut!$F$18)))))</f>
        <v>--</v>
      </c>
      <c r="L231" s="71"/>
      <c r="M231" s="83" t="str">
        <f>IF(ISNUMBER(L231),"gCO2/e-yksikkö",IF(C231=Pudotusvalikot!$R$3,"--",IF(C231=Pudotusvalikot!$R$4,"gCO2/kWh",IF(C231=Pudotusvalikot!$R$5,"kgCO2/h",IF(C231=Pudotusvalikot!$R$6,"gCO2/kWh",IF(C231=Pudotusvalikot!$R$7,"kgCO2/l","kgCO2/kWh"))))))</f>
        <v>kgCO2/kWh</v>
      </c>
      <c r="N231" s="83"/>
      <c r="O231" s="250"/>
      <c r="Q231" s="129"/>
      <c r="R231" s="105" t="str">
        <f>IF(ISNUMBER(R235),R235,IF(ISNUMBER(R237),R237,""))</f>
        <v/>
      </c>
      <c r="S231" s="98" t="s">
        <v>160</v>
      </c>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6"/>
      <c r="AQ231" s="36"/>
      <c r="AR231" s="36"/>
      <c r="AS231" s="36"/>
      <c r="AT231" s="36"/>
      <c r="AU231" s="36"/>
      <c r="AV231" s="36"/>
      <c r="AW231" s="36"/>
      <c r="AX231" s="36"/>
      <c r="AY231" s="36"/>
      <c r="AZ231" s="36"/>
      <c r="BA231" s="36"/>
      <c r="BB231" s="36"/>
      <c r="BC231" s="36"/>
      <c r="BD231" s="36"/>
      <c r="BE231" s="36"/>
      <c r="BF231" s="36"/>
      <c r="BG231" s="36"/>
    </row>
    <row r="232" spans="1:59" s="30" customFormat="1" ht="15" x14ac:dyDescent="0.2">
      <c r="A232" s="395"/>
      <c r="B232" s="166" t="s">
        <v>485</v>
      </c>
      <c r="C232" s="156"/>
      <c r="D232" s="81" t="s">
        <v>8</v>
      </c>
      <c r="E232" s="33"/>
      <c r="G232" s="33"/>
      <c r="H232" s="81"/>
      <c r="J232" s="32" t="s">
        <v>486</v>
      </c>
      <c r="K232" s="382">
        <f>IF(ISNUMBER(L232),L232,IF(OR(C231="Bensiini",C231="Diesel"),Muut!$F$35,Muut!$F$36))</f>
        <v>0.4</v>
      </c>
      <c r="L232" s="382" t="str">
        <f>IF(ISNUMBER(C232),C232/100,"--")</f>
        <v>--</v>
      </c>
      <c r="M232" s="83"/>
      <c r="N232" s="83"/>
      <c r="O232" s="260"/>
      <c r="Q232" s="34"/>
      <c r="R232" s="59"/>
      <c r="S232" s="98"/>
      <c r="T232" s="35"/>
      <c r="U232" s="35"/>
      <c r="V232" s="35"/>
      <c r="W232" s="35"/>
      <c r="X232" s="35"/>
      <c r="Y232" s="35"/>
      <c r="Z232" s="35"/>
      <c r="AA232" s="35"/>
      <c r="AB232" s="35"/>
      <c r="AC232" s="35"/>
      <c r="AD232" s="35"/>
      <c r="AE232" s="35"/>
      <c r="AF232" s="35"/>
      <c r="AG232" s="35"/>
      <c r="AH232" s="35"/>
      <c r="AI232" s="35"/>
      <c r="AJ232" s="35"/>
      <c r="AK232" s="35"/>
      <c r="AL232" s="35"/>
      <c r="AM232" s="35"/>
      <c r="AN232" s="36"/>
      <c r="AO232" s="36"/>
      <c r="AP232" s="36"/>
      <c r="AQ232" s="36"/>
      <c r="AR232" s="36"/>
      <c r="AS232" s="36"/>
      <c r="AT232" s="36"/>
      <c r="AU232" s="36"/>
      <c r="AV232" s="36"/>
      <c r="AW232" s="36"/>
      <c r="AX232" s="36"/>
      <c r="AY232" s="36"/>
      <c r="AZ232" s="36"/>
      <c r="BA232" s="36"/>
      <c r="BB232" s="36"/>
      <c r="BC232" s="36"/>
      <c r="BD232" s="36"/>
      <c r="BE232" s="36"/>
    </row>
    <row r="233" spans="1:59" s="30" customFormat="1" ht="15" x14ac:dyDescent="0.2">
      <c r="A233" s="395"/>
      <c r="B233" s="52" t="s">
        <v>283</v>
      </c>
      <c r="C233" s="156"/>
      <c r="D233" s="86" t="s">
        <v>268</v>
      </c>
      <c r="E233" s="77"/>
      <c r="G233" s="77"/>
      <c r="H233" s="81"/>
      <c r="M233" s="81"/>
      <c r="N233" s="81"/>
      <c r="O233" s="96"/>
      <c r="Q233" s="129"/>
      <c r="R233" s="9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6"/>
      <c r="AQ233" s="36"/>
      <c r="AR233" s="36"/>
      <c r="AS233" s="36"/>
      <c r="AT233" s="36"/>
      <c r="AU233" s="36"/>
      <c r="AV233" s="36"/>
      <c r="AW233" s="36"/>
      <c r="AX233" s="36"/>
      <c r="AY233" s="36"/>
      <c r="AZ233" s="36"/>
      <c r="BA233" s="36"/>
      <c r="BB233" s="36"/>
      <c r="BC233" s="36"/>
      <c r="BD233" s="36"/>
      <c r="BE233" s="36"/>
      <c r="BF233" s="36"/>
      <c r="BG233" s="36"/>
    </row>
    <row r="234" spans="1:59" s="30" customFormat="1" ht="15" x14ac:dyDescent="0.2">
      <c r="A234" s="395"/>
      <c r="B234" s="52" t="s">
        <v>548</v>
      </c>
      <c r="C234" s="33"/>
      <c r="D234" s="81"/>
      <c r="G234" s="33"/>
      <c r="H234" s="81"/>
      <c r="J234" s="32"/>
      <c r="K234" s="37"/>
      <c r="L234" s="37"/>
      <c r="M234" s="81"/>
      <c r="N234" s="81"/>
      <c r="O234" s="96"/>
      <c r="Q234" s="129"/>
      <c r="R234" s="35" t="s">
        <v>318</v>
      </c>
      <c r="S234" s="35"/>
      <c r="T234" s="35" t="s">
        <v>171</v>
      </c>
      <c r="U234" s="35"/>
      <c r="V234" s="35"/>
      <c r="W234" s="35"/>
      <c r="X234" s="35"/>
      <c r="Y234" s="35"/>
      <c r="Z234" s="35"/>
      <c r="AA234" s="35"/>
      <c r="AB234" s="35"/>
      <c r="AC234" s="35"/>
      <c r="AD234" s="35"/>
      <c r="AE234" s="35"/>
      <c r="AF234" s="35"/>
      <c r="AG234" s="35"/>
      <c r="AH234" s="35"/>
      <c r="AI234" s="35"/>
      <c r="AJ234" s="35"/>
      <c r="AK234" s="35"/>
      <c r="AL234" s="35"/>
      <c r="AM234" s="35"/>
      <c r="AN234" s="35"/>
      <c r="AO234" s="35"/>
      <c r="AP234" s="36"/>
      <c r="AQ234" s="36"/>
      <c r="AR234" s="36"/>
      <c r="AS234" s="36"/>
      <c r="AT234" s="36"/>
      <c r="AU234" s="36"/>
      <c r="AV234" s="36"/>
      <c r="AW234" s="36"/>
      <c r="AX234" s="36"/>
      <c r="AY234" s="36"/>
      <c r="AZ234" s="36"/>
      <c r="BA234" s="36"/>
      <c r="BB234" s="36"/>
      <c r="BC234" s="36"/>
      <c r="BD234" s="36"/>
      <c r="BE234" s="36"/>
      <c r="BF234" s="36"/>
      <c r="BG234" s="36"/>
    </row>
    <row r="235" spans="1:59" s="30" customFormat="1" ht="30" x14ac:dyDescent="0.2">
      <c r="A235" s="395"/>
      <c r="B235" s="166" t="s">
        <v>553</v>
      </c>
      <c r="C235" s="152"/>
      <c r="D235" s="81" t="s">
        <v>264</v>
      </c>
      <c r="E235" s="33"/>
      <c r="G235" s="33"/>
      <c r="H235" s="81"/>
      <c r="M235" s="81"/>
      <c r="N235" s="81"/>
      <c r="O235" s="96"/>
      <c r="Q235" s="129"/>
      <c r="R235" s="105" t="str">
        <f>IF(ISNUMBER(C235),IF(AND(ISNUMBER(C233),C231="Aggregaatti"),C233*IF(D233="vuosi",365*24,IF(D233="kuukausi",30*24,IF(D233="päivä",24,1)))*Kalusto!$E$23,C235*T235),"")</f>
        <v/>
      </c>
      <c r="S235" s="98" t="s">
        <v>160</v>
      </c>
      <c r="T235" s="191" t="str">
        <f>IF(ISNUMBER(C235),IF(C231="Ostosähkö",(K231+Muut!$F$13),IF(C231="Aurinkopaneelit",(Muut!$F$25+Muut!$F$26),IF(OR(C231="Bensiini",C231="Diesel"),(Muut!$F$16+Muut!$F$15+Muut!$F$18+Muut!$F$19)/2,"Aggregaatin kerroin"))),"")</f>
        <v/>
      </c>
      <c r="U235" s="35"/>
      <c r="V235" s="35"/>
      <c r="W235" s="35"/>
      <c r="X235" s="35"/>
      <c r="Y235" s="35"/>
      <c r="Z235" s="35"/>
      <c r="AA235" s="35"/>
      <c r="AB235" s="35"/>
      <c r="AC235" s="35"/>
      <c r="AD235" s="35"/>
      <c r="AE235" s="35"/>
      <c r="AF235" s="35"/>
      <c r="AG235" s="35"/>
      <c r="AH235" s="35"/>
      <c r="AI235" s="35"/>
      <c r="AJ235" s="35"/>
      <c r="AK235" s="35"/>
      <c r="AL235" s="35"/>
      <c r="AM235" s="35"/>
      <c r="AN235" s="35"/>
      <c r="AO235" s="35"/>
      <c r="AP235" s="36"/>
      <c r="AQ235" s="36"/>
      <c r="AR235" s="36"/>
      <c r="AS235" s="36"/>
      <c r="AT235" s="36"/>
      <c r="AU235" s="36"/>
      <c r="AV235" s="36"/>
      <c r="AW235" s="36"/>
      <c r="AX235" s="36"/>
      <c r="AY235" s="36"/>
      <c r="AZ235" s="36"/>
      <c r="BA235" s="36"/>
      <c r="BB235" s="36"/>
      <c r="BC235" s="36"/>
      <c r="BD235" s="36"/>
      <c r="BE235" s="36"/>
      <c r="BF235" s="36"/>
      <c r="BG235" s="36"/>
    </row>
    <row r="236" spans="1:59" s="30" customFormat="1" ht="15" x14ac:dyDescent="0.2">
      <c r="A236" s="395"/>
      <c r="B236" s="52" t="s">
        <v>552</v>
      </c>
      <c r="C236" s="33"/>
      <c r="D236" s="81"/>
      <c r="G236" s="77"/>
      <c r="H236" s="81"/>
      <c r="M236" s="81"/>
      <c r="N236" s="81"/>
      <c r="O236" s="96"/>
      <c r="Q236" s="129"/>
      <c r="R236" s="43" t="s">
        <v>318</v>
      </c>
      <c r="S236" s="35"/>
      <c r="T236" s="35" t="s">
        <v>705</v>
      </c>
      <c r="U236" s="35"/>
      <c r="V236" s="35"/>
      <c r="W236" s="35"/>
      <c r="X236" s="35"/>
      <c r="Y236" s="35"/>
      <c r="Z236" s="35"/>
      <c r="AA236" s="35"/>
      <c r="AB236" s="35"/>
      <c r="AC236" s="35"/>
      <c r="AD236" s="35"/>
      <c r="AE236" s="35"/>
      <c r="AF236" s="35"/>
      <c r="AG236" s="35"/>
      <c r="AH236" s="35"/>
      <c r="AI236" s="35"/>
      <c r="AJ236" s="35"/>
      <c r="AK236" s="35"/>
      <c r="AL236" s="35"/>
      <c r="AM236" s="35"/>
      <c r="AN236" s="35"/>
      <c r="AO236" s="35"/>
      <c r="AP236" s="36"/>
      <c r="AQ236" s="36"/>
      <c r="AR236" s="36"/>
      <c r="AS236" s="36"/>
      <c r="AT236" s="36"/>
      <c r="AU236" s="36"/>
      <c r="AV236" s="36"/>
      <c r="AW236" s="36"/>
      <c r="AX236" s="36"/>
      <c r="AY236" s="36"/>
      <c r="AZ236" s="36"/>
      <c r="BA236" s="36"/>
      <c r="BB236" s="36"/>
      <c r="BC236" s="36"/>
      <c r="BD236" s="36"/>
      <c r="BE236" s="36"/>
      <c r="BF236" s="36"/>
      <c r="BG236" s="36"/>
    </row>
    <row r="237" spans="1:59" s="30" customFormat="1" ht="15" x14ac:dyDescent="0.2">
      <c r="A237" s="395"/>
      <c r="B237" s="44" t="s">
        <v>551</v>
      </c>
      <c r="C237" s="441"/>
      <c r="D237" s="81" t="s">
        <v>195</v>
      </c>
      <c r="G237" s="77"/>
      <c r="H237" s="81"/>
      <c r="M237" s="81"/>
      <c r="N237" s="81"/>
      <c r="O237" s="96"/>
      <c r="Q237" s="129"/>
      <c r="R237" s="191" t="str">
        <f>IF(AND(ISNUMBER(C237),ISNUMBER(C233)),IF(D233="vuosi",365*24,IF(D233="kuukausi",30*24,IF(D233="päivä",24,1)))*C233*T237,"")</f>
        <v/>
      </c>
      <c r="S237" s="98" t="s">
        <v>160</v>
      </c>
      <c r="T237" s="191" t="str">
        <f>IF(ISNUMBER(L231),L231,IF(C231="Ostosähkö",(Muut!$F$11+Muut!$F$13)/1000/K232,IF(C231="Aurinkopaneelit",(Muut!$F$25+Muut!$F$26)/1000/K232,IF(OR(C231="Bensiini",C231="Diesel"),(Muut!$F$16+Muut!$F$15+Muut!$F$18+Muut!$F$19)/2/K232,IF(C231="Aggregaatti","Aggregaatin kerroin","")))))</f>
        <v/>
      </c>
      <c r="U237" s="35"/>
      <c r="V237" s="35"/>
      <c r="W237" s="35"/>
      <c r="X237" s="35"/>
      <c r="Y237" s="35"/>
      <c r="Z237" s="35"/>
      <c r="AA237" s="35"/>
      <c r="AB237" s="35"/>
      <c r="AC237" s="35"/>
      <c r="AD237" s="35"/>
      <c r="AE237" s="35"/>
      <c r="AF237" s="35"/>
      <c r="AG237" s="35"/>
      <c r="AH237" s="35"/>
      <c r="AI237" s="35"/>
      <c r="AJ237" s="35"/>
      <c r="AK237" s="35"/>
      <c r="AL237" s="35"/>
      <c r="AM237" s="35"/>
      <c r="AN237" s="35"/>
      <c r="AO237" s="35"/>
      <c r="AP237" s="36"/>
      <c r="AQ237" s="36"/>
      <c r="AR237" s="36"/>
      <c r="AS237" s="36"/>
      <c r="AT237" s="36"/>
      <c r="AU237" s="36"/>
      <c r="AV237" s="36"/>
      <c r="AW237" s="36"/>
      <c r="AX237" s="36"/>
      <c r="AY237" s="36"/>
      <c r="AZ237" s="36"/>
      <c r="BA237" s="36"/>
      <c r="BB237" s="36"/>
      <c r="BC237" s="36"/>
      <c r="BD237" s="36"/>
      <c r="BE237" s="36"/>
      <c r="BF237" s="36"/>
      <c r="BG237" s="36"/>
    </row>
    <row r="238" spans="1:59" s="30" customFormat="1" ht="15" x14ac:dyDescent="0.2">
      <c r="B238" s="52"/>
      <c r="C238" s="33"/>
      <c r="D238" s="33"/>
      <c r="E238" s="57"/>
      <c r="G238" s="33"/>
      <c r="H238" s="81"/>
      <c r="J238" s="32"/>
      <c r="K238" s="33"/>
      <c r="L238" s="33"/>
      <c r="M238" s="81"/>
      <c r="N238" s="81"/>
      <c r="O238" s="81"/>
      <c r="Q238" s="129"/>
      <c r="R238" s="94"/>
      <c r="S238" s="35"/>
      <c r="T238" s="35"/>
      <c r="U238" s="35"/>
      <c r="V238" s="35"/>
      <c r="W238" s="35"/>
      <c r="X238" s="35"/>
      <c r="Y238" s="35"/>
      <c r="Z238" s="35"/>
      <c r="AA238" s="35"/>
      <c r="AB238" s="35"/>
      <c r="AC238" s="35"/>
      <c r="AD238" s="35"/>
      <c r="AE238" s="35"/>
      <c r="AF238" s="35"/>
      <c r="AG238" s="35"/>
      <c r="AH238" s="35"/>
      <c r="AI238" s="35"/>
      <c r="AJ238" s="35"/>
      <c r="AK238" s="35"/>
      <c r="AL238" s="35"/>
      <c r="AM238" s="35"/>
      <c r="AN238" s="36"/>
      <c r="AO238" s="36"/>
      <c r="AP238" s="36"/>
      <c r="AQ238" s="36"/>
      <c r="AR238" s="36"/>
      <c r="AS238" s="36"/>
      <c r="AT238" s="36"/>
      <c r="AU238" s="36"/>
      <c r="AV238" s="36"/>
      <c r="AW238" s="36"/>
      <c r="AX238" s="36"/>
      <c r="AY238" s="36"/>
      <c r="AZ238" s="36"/>
      <c r="BA238" s="36"/>
      <c r="BB238" s="36"/>
      <c r="BC238" s="36"/>
      <c r="BD238" s="36"/>
      <c r="BE238" s="36"/>
    </row>
    <row r="239" spans="1:59" s="289" customFormat="1" ht="18" x14ac:dyDescent="0.2">
      <c r="B239" s="286" t="s">
        <v>42</v>
      </c>
      <c r="C239" s="287"/>
      <c r="D239" s="288"/>
      <c r="G239" s="287"/>
      <c r="H239" s="288"/>
      <c r="K239" s="287"/>
      <c r="L239" s="287"/>
      <c r="M239" s="288"/>
      <c r="N239" s="288"/>
      <c r="O239" s="291"/>
      <c r="P239" s="311"/>
      <c r="Q239" s="295"/>
      <c r="R239" s="289" t="str">
        <f>IF(OR(ISNUMBER(#REF!),ISNUMBER(#REF!),ISNUMBER(#REF!)),SUM(#REF!,#REF!,#REF!),"")</f>
        <v/>
      </c>
      <c r="S239" s="294"/>
      <c r="T239" s="294"/>
      <c r="U239" s="294"/>
      <c r="V239" s="294"/>
      <c r="W239" s="294"/>
      <c r="X239" s="294"/>
      <c r="Y239" s="294"/>
      <c r="Z239" s="294"/>
      <c r="AA239" s="294"/>
      <c r="AB239" s="294"/>
      <c r="AC239" s="294"/>
      <c r="AD239" s="294"/>
      <c r="AE239" s="294"/>
      <c r="AF239" s="294"/>
      <c r="AG239" s="294"/>
      <c r="AH239" s="294"/>
      <c r="AI239" s="294"/>
      <c r="AJ239" s="294"/>
      <c r="AK239" s="294"/>
      <c r="AL239" s="294"/>
      <c r="AM239" s="294"/>
      <c r="AN239" s="295"/>
      <c r="AO239" s="295"/>
      <c r="AP239" s="295"/>
      <c r="AQ239" s="295"/>
      <c r="AR239" s="295"/>
      <c r="AS239" s="295"/>
      <c r="AT239" s="295"/>
      <c r="AU239" s="295"/>
      <c r="AV239" s="295"/>
      <c r="AW239" s="295"/>
      <c r="AX239" s="295"/>
      <c r="AY239" s="295"/>
      <c r="AZ239" s="295"/>
      <c r="BA239" s="295"/>
      <c r="BB239" s="295"/>
      <c r="BC239" s="295"/>
      <c r="BD239" s="295"/>
      <c r="BE239" s="295"/>
    </row>
    <row r="240" spans="1:59" s="30" customFormat="1" ht="15.75" x14ac:dyDescent="0.2">
      <c r="B240" s="8"/>
      <c r="C240" s="33"/>
      <c r="D240" s="81"/>
      <c r="G240" s="33" t="s">
        <v>43</v>
      </c>
      <c r="H240" s="81"/>
      <c r="K240" s="37" t="s">
        <v>297</v>
      </c>
      <c r="L240" s="37" t="s">
        <v>185</v>
      </c>
      <c r="M240" s="81"/>
      <c r="N240" s="81"/>
      <c r="O240" s="249" t="s">
        <v>584</v>
      </c>
      <c r="Q240" s="34"/>
      <c r="R240" s="35" t="s">
        <v>318</v>
      </c>
      <c r="S240" s="35"/>
      <c r="T240" s="35" t="s">
        <v>238</v>
      </c>
      <c r="U240" s="35" t="s">
        <v>239</v>
      </c>
      <c r="V240" s="35" t="s">
        <v>240</v>
      </c>
      <c r="W240" s="35" t="s">
        <v>243</v>
      </c>
      <c r="X240" s="35" t="s">
        <v>241</v>
      </c>
      <c r="Y240" s="35" t="s">
        <v>242</v>
      </c>
      <c r="Z240" s="35" t="s">
        <v>244</v>
      </c>
      <c r="AA240" s="104"/>
      <c r="AB240" s="35"/>
      <c r="AC240" s="35"/>
      <c r="AD240" s="35"/>
      <c r="AE240" s="35"/>
      <c r="AF240" s="35"/>
      <c r="AG240" s="35"/>
      <c r="AH240" s="35"/>
      <c r="AI240" s="35"/>
      <c r="AJ240" s="35"/>
      <c r="AK240" s="35"/>
      <c r="AL240" s="35"/>
      <c r="AM240" s="35"/>
      <c r="AN240" s="36"/>
      <c r="AO240" s="36"/>
      <c r="AP240" s="36"/>
      <c r="AQ240" s="36"/>
      <c r="AR240" s="36"/>
      <c r="AS240" s="36"/>
      <c r="AT240" s="36"/>
      <c r="AU240" s="36"/>
      <c r="AV240" s="36"/>
      <c r="AW240" s="36"/>
      <c r="AX240" s="36"/>
      <c r="AY240" s="36"/>
      <c r="AZ240" s="36"/>
      <c r="BA240" s="36"/>
      <c r="BB240" s="36"/>
      <c r="BC240" s="36"/>
      <c r="BD240" s="36"/>
      <c r="BE240" s="36"/>
    </row>
    <row r="241" spans="1:59" s="30" customFormat="1" ht="15" x14ac:dyDescent="0.2">
      <c r="A241" s="395"/>
      <c r="B241" s="52" t="s">
        <v>530</v>
      </c>
      <c r="C241" s="156"/>
      <c r="D241" s="81" t="s">
        <v>215</v>
      </c>
      <c r="G241" s="156"/>
      <c r="H241" s="81" t="s">
        <v>44</v>
      </c>
      <c r="J241" s="32" t="s">
        <v>514</v>
      </c>
      <c r="K241" s="108" t="str">
        <f>IFERROR(IF(ISNUMBER(L241),L241,VLOOKUP(C245,Kalusto!$C$100:$E$105,3,FALSE)),"--")</f>
        <v>--</v>
      </c>
      <c r="L241" s="61"/>
      <c r="M241" s="75" t="str">
        <f>IF(C245=Pudotusvalikot!$J$9,"kWh/100 km",IF(C245=Pudotusvalikot!$J$6,"kg/100 km","l/100 km"))</f>
        <v>l/100 km</v>
      </c>
      <c r="N241" s="75"/>
      <c r="O241" s="250"/>
      <c r="Q241" s="34"/>
      <c r="R241" s="105">
        <f>SUM(U241:Z241)</f>
        <v>0</v>
      </c>
      <c r="S241" s="98" t="s">
        <v>160</v>
      </c>
      <c r="T241" s="46">
        <f>IF(ISNUMBER(C242*C241*G241),C242*C241*G241,"")</f>
        <v>0</v>
      </c>
      <c r="U241" s="48">
        <f>IF(ISNUMBER(T241),IF(C245=Pudotusvalikot!$J$5,(Muut!$F$16+Muut!$F$19)*(T241*K241/100),0),"")</f>
        <v>0</v>
      </c>
      <c r="V241" s="48">
        <f>IF(ISNUMBER(T241),IF(C245=Pudotusvalikot!$J$4,(Muut!$F$15+Muut!$F$18)*(T241*K241/100),0),"")</f>
        <v>0</v>
      </c>
      <c r="W241" s="48">
        <f>IF(ISNUMBER(T241),IF(C245=Pudotusvalikot!$J$6,(Muut!$F$17+Muut!$F$20)*(T241*K241/100),0),"")</f>
        <v>0</v>
      </c>
      <c r="X241" s="48">
        <f>IF(ISNUMBER(T241),IF(C245=Pudotusvalikot!$J$7,((Muut!$F$16+Muut!$F$19)*(100%-Kalusto!$O$103)+(Muut!$F$15+Muut!$F$18)*Kalusto!$O$103)*(T241*K241/100),0),"")</f>
        <v>0</v>
      </c>
      <c r="Y241" s="72">
        <f>IF(ISNUMBER(T241),IF(C245=Pudotusvalikot!$J$8,((Kalusto!$K$104)*(100%-Kalusto!$O$104)+(Kalusto!$M$104)*Kalusto!$O$104)*(Muut!$F$14+Muut!$F$13)/100*T241/1000+((Kalusto!$G$104)*(100%-Kalusto!$O$104)+(Kalusto!$I$104)*Kalusto!$O$104)*(K241+Muut!$F$19)/100*T241,0),"")</f>
        <v>0</v>
      </c>
      <c r="Z241" s="72">
        <f>IF(ISNUMBER(T241),IF(C245=Pudotusvalikot!$J$9,Kalusto!$E$105*(K241+Muut!$F$13)/100*T241/1000,0),"")</f>
        <v>0</v>
      </c>
      <c r="AA241" s="104"/>
      <c r="AB241" s="35"/>
      <c r="AC241" s="35"/>
      <c r="AD241" s="35"/>
      <c r="AE241" s="35"/>
      <c r="AF241" s="35"/>
      <c r="AG241" s="35"/>
      <c r="AH241" s="35"/>
      <c r="AI241" s="35"/>
      <c r="AJ241" s="35"/>
      <c r="AK241" s="35"/>
      <c r="AL241" s="35"/>
      <c r="AM241" s="35"/>
      <c r="AN241" s="36"/>
      <c r="AO241" s="36"/>
      <c r="AP241" s="36"/>
      <c r="AQ241" s="36"/>
      <c r="AR241" s="36"/>
      <c r="AS241" s="36"/>
      <c r="AT241" s="36"/>
      <c r="AU241" s="36"/>
      <c r="AV241" s="36"/>
      <c r="AW241" s="36"/>
      <c r="AX241" s="36"/>
      <c r="AY241" s="36"/>
      <c r="AZ241" s="36"/>
      <c r="BA241" s="36"/>
      <c r="BB241" s="36"/>
      <c r="BC241" s="36"/>
      <c r="BD241" s="36"/>
      <c r="BE241" s="36"/>
    </row>
    <row r="242" spans="1:59" s="30" customFormat="1" ht="15" x14ac:dyDescent="0.2">
      <c r="A242" s="395"/>
      <c r="B242" s="44" t="s">
        <v>529</v>
      </c>
      <c r="C242" s="156"/>
      <c r="D242" s="81" t="s">
        <v>5</v>
      </c>
      <c r="G242" s="33"/>
      <c r="H242" s="81"/>
      <c r="K242" s="130"/>
      <c r="L242" s="37"/>
      <c r="M242" s="81"/>
      <c r="N242" s="81"/>
      <c r="O242" s="96"/>
      <c r="Q242" s="34"/>
      <c r="R242" s="35" t="s">
        <v>318</v>
      </c>
      <c r="S242" s="35"/>
      <c r="T242" s="35" t="s">
        <v>238</v>
      </c>
      <c r="U242" s="35" t="s">
        <v>239</v>
      </c>
      <c r="V242" s="35" t="s">
        <v>240</v>
      </c>
      <c r="W242" s="35" t="s">
        <v>243</v>
      </c>
      <c r="X242" s="35" t="s">
        <v>241</v>
      </c>
      <c r="Y242" s="35" t="s">
        <v>242</v>
      </c>
      <c r="Z242" s="35" t="s">
        <v>244</v>
      </c>
      <c r="AA242" s="104"/>
      <c r="AB242" s="35"/>
      <c r="AC242" s="35"/>
      <c r="AD242" s="35"/>
      <c r="AE242" s="35"/>
      <c r="AF242" s="35"/>
      <c r="AG242" s="35"/>
      <c r="AH242" s="35"/>
      <c r="AI242" s="35"/>
      <c r="AJ242" s="35"/>
      <c r="AK242" s="35"/>
      <c r="AL242" s="35"/>
      <c r="AM242" s="35"/>
      <c r="AN242" s="36"/>
      <c r="AO242" s="36"/>
      <c r="AP242" s="36"/>
      <c r="AQ242" s="36"/>
      <c r="AR242" s="36"/>
      <c r="AS242" s="36"/>
      <c r="AT242" s="36"/>
      <c r="AU242" s="36"/>
      <c r="AV242" s="36"/>
      <c r="AW242" s="36"/>
      <c r="AX242" s="36"/>
      <c r="AY242" s="36"/>
      <c r="AZ242" s="36"/>
      <c r="BA242" s="36"/>
      <c r="BB242" s="36"/>
      <c r="BC242" s="36"/>
      <c r="BD242" s="36"/>
      <c r="BE242" s="36"/>
    </row>
    <row r="243" spans="1:59" s="30" customFormat="1" ht="30" x14ac:dyDescent="0.2">
      <c r="A243" s="395"/>
      <c r="B243" s="76" t="s">
        <v>528</v>
      </c>
      <c r="C243" s="156"/>
      <c r="D243" s="81" t="s">
        <v>216</v>
      </c>
      <c r="G243" s="156"/>
      <c r="H243" s="81" t="s">
        <v>44</v>
      </c>
      <c r="J243" s="32" t="s">
        <v>514</v>
      </c>
      <c r="K243" s="108" t="str">
        <f>IFERROR(IF(ISNUMBER(L243),L243,VLOOKUP(C245,Kalusto!$C$100:$E$105,3,FALSE)),"--")</f>
        <v>--</v>
      </c>
      <c r="L243" s="61"/>
      <c r="M243" s="75" t="str">
        <f>IF(C245=Pudotusvalikot!$J$9,"kWh/100 km",IF(C245=Pudotusvalikot!$J$6,"kg/100 km","l/100 km"))</f>
        <v>l/100 km</v>
      </c>
      <c r="N243" s="75"/>
      <c r="O243" s="263"/>
      <c r="Q243" s="34"/>
      <c r="R243" s="105">
        <f>SUM(U243:Z243)</f>
        <v>0</v>
      </c>
      <c r="S243" s="98" t="s">
        <v>160</v>
      </c>
      <c r="T243" s="46">
        <f>IF(ISNUMBER(C244*C243*50*G243),C244*C243*50*G243,"")</f>
        <v>0</v>
      </c>
      <c r="U243" s="48">
        <f>IF(ISNUMBER(T243),IF(C245=Pudotusvalikot!$J$5,(Muut!$F$16+Muut!$F$19)*(T243*K243/100),0),"")</f>
        <v>0</v>
      </c>
      <c r="V243" s="48">
        <f>IF(ISNUMBER(T243),IF(C245=Pudotusvalikot!$J$4,(Muut!$F$15+Muut!$F$18)*(T243*K243/100),0),"")</f>
        <v>0</v>
      </c>
      <c r="W243" s="48">
        <f>IF(ISNUMBER(T243),IF(C245=Pudotusvalikot!$J$6,(Muut!$F$17+Muut!$F$20)*(T243*K243/100),0),"")</f>
        <v>0</v>
      </c>
      <c r="X243" s="48">
        <f>IF(ISNUMBER(T243),IF(C245=Pudotusvalikot!$J$7,((Muut!$F$16+Muut!$F$19)*(100%-Kalusto!$O$103)+(Muut!$F$15+Muut!$F$18)*Kalusto!$O$103)*(T243*K243/100),0),"")</f>
        <v>0</v>
      </c>
      <c r="Y243" s="72">
        <f>IF(ISNUMBER(T243),IF(C245=Pudotusvalikot!$J$8,((Kalusto!$K$104)*(100%-Kalusto!$O$104)+(Kalusto!$M$104)*Kalusto!$O$104)*(Muut!$F$14+Muut!$F$13)/100*T243/1000+((Kalusto!$G$104)*(100%-Kalusto!$O$104)+(Kalusto!$I$104)*Kalusto!$O$104)*(K243+Muut!$F$19)/100*T243,0),"")</f>
        <v>0</v>
      </c>
      <c r="Z243" s="72">
        <f>IF(ISNUMBER(T243),IF(C245=Pudotusvalikot!$J$9,Kalusto!$E$105*(K243+Muut!$F$13)/100*T243/1000,0),"")</f>
        <v>0</v>
      </c>
      <c r="AA243" s="104"/>
      <c r="AB243" s="35"/>
      <c r="AC243" s="35"/>
      <c r="AD243" s="35"/>
      <c r="AE243" s="35"/>
      <c r="AF243" s="35"/>
      <c r="AG243" s="35"/>
      <c r="AH243" s="35"/>
      <c r="AI243" s="35"/>
      <c r="AJ243" s="35"/>
      <c r="AK243" s="35"/>
      <c r="AL243" s="35"/>
      <c r="AM243" s="35"/>
      <c r="AN243" s="36"/>
      <c r="AO243" s="36"/>
      <c r="AP243" s="36"/>
      <c r="AQ243" s="36"/>
      <c r="AR243" s="36"/>
      <c r="AS243" s="36"/>
      <c r="AT243" s="36"/>
      <c r="AU243" s="36"/>
      <c r="AV243" s="36"/>
      <c r="AW243" s="36"/>
      <c r="AX243" s="36"/>
      <c r="AY243" s="36"/>
      <c r="AZ243" s="36"/>
      <c r="BA243" s="36"/>
      <c r="BB243" s="36"/>
      <c r="BC243" s="36"/>
      <c r="BD243" s="36"/>
      <c r="BE243" s="36"/>
    </row>
    <row r="244" spans="1:59" s="30" customFormat="1" ht="15" x14ac:dyDescent="0.2">
      <c r="A244" s="395"/>
      <c r="B244" s="44" t="s">
        <v>527</v>
      </c>
      <c r="C244" s="156"/>
      <c r="D244" s="81" t="s">
        <v>5</v>
      </c>
      <c r="G244" s="33"/>
      <c r="H244" s="81"/>
      <c r="K244" s="130"/>
      <c r="L244" s="37"/>
      <c r="M244" s="81"/>
      <c r="N244" s="81"/>
      <c r="O244" s="96"/>
      <c r="Q244" s="34"/>
      <c r="R244" s="35" t="s">
        <v>318</v>
      </c>
      <c r="S244" s="35"/>
      <c r="T244" s="35" t="s">
        <v>238</v>
      </c>
      <c r="U244" s="35" t="s">
        <v>239</v>
      </c>
      <c r="V244" s="35" t="s">
        <v>240</v>
      </c>
      <c r="W244" s="35" t="s">
        <v>243</v>
      </c>
      <c r="X244" s="35" t="s">
        <v>241</v>
      </c>
      <c r="Y244" s="35" t="s">
        <v>242</v>
      </c>
      <c r="Z244" s="35" t="s">
        <v>244</v>
      </c>
      <c r="AA244" s="104"/>
      <c r="AB244" s="35"/>
      <c r="AC244" s="35"/>
      <c r="AD244" s="35"/>
      <c r="AE244" s="35"/>
      <c r="AF244" s="35"/>
      <c r="AG244" s="35"/>
      <c r="AH244" s="35"/>
      <c r="AI244" s="35"/>
      <c r="AJ244" s="35"/>
      <c r="AK244" s="35"/>
      <c r="AL244" s="35"/>
      <c r="AM244" s="35"/>
      <c r="AN244" s="36"/>
      <c r="AO244" s="36"/>
      <c r="AP244" s="36"/>
      <c r="AQ244" s="36"/>
      <c r="AR244" s="36"/>
      <c r="AS244" s="36"/>
      <c r="AT244" s="36"/>
      <c r="AU244" s="36"/>
      <c r="AV244" s="36"/>
      <c r="AW244" s="36"/>
      <c r="AX244" s="36"/>
      <c r="AY244" s="36"/>
      <c r="AZ244" s="36"/>
      <c r="BA244" s="36"/>
      <c r="BB244" s="36"/>
      <c r="BC244" s="36"/>
      <c r="BD244" s="36"/>
      <c r="BE244" s="36"/>
    </row>
    <row r="245" spans="1:59" s="30" customFormat="1" ht="15" x14ac:dyDescent="0.2">
      <c r="A245" s="395"/>
      <c r="B245" s="52" t="s">
        <v>524</v>
      </c>
      <c r="C245" s="474" t="s">
        <v>309</v>
      </c>
      <c r="D245" s="474"/>
      <c r="G245" s="33"/>
      <c r="H245" s="81"/>
      <c r="J245" s="32"/>
      <c r="K245" s="33"/>
      <c r="L245" s="33"/>
      <c r="M245" s="81"/>
      <c r="N245" s="81"/>
      <c r="O245" s="96"/>
      <c r="Q245" s="34"/>
      <c r="R245" s="95"/>
      <c r="S245" s="35"/>
      <c r="T245" s="35"/>
      <c r="U245" s="35"/>
      <c r="V245" s="35"/>
      <c r="W245" s="35"/>
      <c r="X245" s="35"/>
      <c r="Y245" s="35"/>
      <c r="Z245" s="35"/>
      <c r="AA245" s="35"/>
      <c r="AB245" s="35"/>
      <c r="AC245" s="35"/>
      <c r="AD245" s="35"/>
      <c r="AE245" s="35"/>
      <c r="AF245" s="35"/>
      <c r="AG245" s="35"/>
      <c r="AH245" s="35"/>
      <c r="AI245" s="35"/>
      <c r="AJ245" s="35"/>
      <c r="AK245" s="35"/>
      <c r="AL245" s="35"/>
      <c r="AM245" s="35"/>
      <c r="AN245" s="36"/>
      <c r="AO245" s="36"/>
      <c r="AP245" s="36"/>
      <c r="AQ245" s="36"/>
      <c r="AR245" s="36"/>
      <c r="AS245" s="36"/>
      <c r="AT245" s="36"/>
      <c r="AU245" s="36"/>
      <c r="AV245" s="36"/>
      <c r="AW245" s="36"/>
      <c r="AX245" s="36"/>
      <c r="AY245" s="36"/>
      <c r="AZ245" s="36"/>
      <c r="BA245" s="36"/>
      <c r="BB245" s="36"/>
      <c r="BC245" s="36"/>
      <c r="BD245" s="36"/>
      <c r="BE245" s="36"/>
    </row>
    <row r="246" spans="1:59" s="30" customFormat="1" ht="15" x14ac:dyDescent="0.2">
      <c r="A246" s="395"/>
      <c r="B246" s="52"/>
      <c r="C246" s="52"/>
      <c r="D246" s="52"/>
      <c r="F246" s="52"/>
      <c r="G246" s="52"/>
      <c r="H246" s="52"/>
      <c r="I246" s="52"/>
      <c r="J246" s="32"/>
      <c r="K246" s="33"/>
      <c r="L246" s="33"/>
      <c r="M246" s="81"/>
      <c r="N246" s="81"/>
      <c r="O246" s="96"/>
      <c r="Q246" s="34"/>
      <c r="R246" s="95"/>
      <c r="S246" s="35"/>
      <c r="T246" s="35"/>
      <c r="U246" s="35"/>
      <c r="V246" s="35"/>
      <c r="W246" s="35"/>
      <c r="X246" s="35"/>
      <c r="Y246" s="35"/>
      <c r="Z246" s="35"/>
      <c r="AA246" s="35"/>
      <c r="AB246" s="35"/>
      <c r="AC246" s="35"/>
      <c r="AD246" s="35"/>
      <c r="AE246" s="35"/>
      <c r="AF246" s="35"/>
      <c r="AG246" s="35"/>
      <c r="AH246" s="35"/>
      <c r="AI246" s="35"/>
      <c r="AJ246" s="35"/>
      <c r="AK246" s="35"/>
      <c r="AL246" s="35"/>
      <c r="AM246" s="35"/>
      <c r="AN246" s="36"/>
      <c r="AO246" s="36"/>
      <c r="AP246" s="36"/>
      <c r="AQ246" s="36"/>
      <c r="AR246" s="36"/>
      <c r="AS246" s="36"/>
      <c r="AT246" s="36"/>
      <c r="AU246" s="36"/>
      <c r="AV246" s="36"/>
      <c r="AW246" s="36"/>
      <c r="AX246" s="36"/>
      <c r="AY246" s="36"/>
      <c r="AZ246" s="36"/>
      <c r="BA246" s="36"/>
      <c r="BB246" s="36"/>
      <c r="BC246" s="36"/>
      <c r="BD246" s="36"/>
      <c r="BE246" s="36"/>
    </row>
    <row r="247" spans="1:59" s="192" customFormat="1" ht="23.25" x14ac:dyDescent="0.2">
      <c r="B247" s="193" t="s">
        <v>290</v>
      </c>
      <c r="C247" s="194"/>
      <c r="D247" s="195"/>
      <c r="G247" s="194"/>
      <c r="H247" s="195"/>
      <c r="J247" s="196"/>
      <c r="O247" s="264"/>
      <c r="P247" s="197"/>
      <c r="Q247" s="198"/>
      <c r="R247" s="199"/>
      <c r="S247" s="198"/>
      <c r="T247" s="200"/>
      <c r="U247" s="201"/>
      <c r="V247" s="201"/>
      <c r="W247" s="201"/>
      <c r="X247" s="201"/>
      <c r="Y247" s="201"/>
      <c r="Z247" s="201"/>
      <c r="AA247" s="201"/>
      <c r="AB247" s="201"/>
      <c r="AC247" s="201"/>
      <c r="AD247" s="201"/>
      <c r="AE247" s="201"/>
      <c r="AF247" s="201"/>
      <c r="AG247" s="201"/>
      <c r="AH247" s="201"/>
      <c r="AI247" s="201"/>
      <c r="AJ247" s="201"/>
      <c r="AK247" s="201"/>
      <c r="AL247" s="201"/>
      <c r="AM247" s="201"/>
      <c r="AN247" s="201"/>
      <c r="AO247" s="201"/>
      <c r="AP247" s="200"/>
      <c r="AQ247" s="200"/>
      <c r="AR247" s="200"/>
      <c r="AS247" s="200"/>
      <c r="AT247" s="200"/>
      <c r="AU247" s="200"/>
      <c r="AV247" s="200"/>
      <c r="AW247" s="200"/>
      <c r="AX247" s="200"/>
      <c r="AY247" s="200"/>
      <c r="AZ247" s="200"/>
      <c r="BA247" s="200"/>
      <c r="BB247" s="200"/>
      <c r="BC247" s="200"/>
      <c r="BD247" s="200"/>
      <c r="BE247" s="200"/>
      <c r="BF247" s="200"/>
      <c r="BG247" s="200"/>
    </row>
    <row r="248" spans="1:59" s="30" customFormat="1" ht="15.75" x14ac:dyDescent="0.2">
      <c r="B248" s="8"/>
      <c r="C248" s="33"/>
      <c r="D248" s="81"/>
      <c r="G248" s="33"/>
      <c r="H248" s="81"/>
      <c r="K248" s="33"/>
      <c r="L248" s="33"/>
      <c r="M248" s="81"/>
      <c r="N248" s="81"/>
      <c r="O248" s="81"/>
      <c r="Q248" s="34"/>
      <c r="R248" s="95"/>
      <c r="S248" s="35"/>
      <c r="T248" s="35"/>
      <c r="U248" s="35"/>
      <c r="V248" s="35"/>
      <c r="W248" s="35"/>
      <c r="X248" s="35"/>
      <c r="Y248" s="35"/>
      <c r="Z248" s="35"/>
      <c r="AA248" s="35"/>
      <c r="AB248" s="35"/>
      <c r="AC248" s="35"/>
      <c r="AD248" s="35"/>
      <c r="AE248" s="35"/>
      <c r="AF248" s="35"/>
      <c r="AG248" s="35"/>
      <c r="AH248" s="35"/>
      <c r="AI248" s="35"/>
      <c r="AJ248" s="35"/>
      <c r="AK248" s="35"/>
      <c r="AL248" s="35"/>
      <c r="AM248" s="35"/>
      <c r="AN248" s="36"/>
      <c r="AO248" s="36"/>
      <c r="AP248" s="36"/>
      <c r="AQ248" s="36"/>
      <c r="AR248" s="36"/>
      <c r="AS248" s="36"/>
      <c r="AT248" s="36"/>
      <c r="AU248" s="36"/>
      <c r="AV248" s="36"/>
      <c r="AW248" s="36"/>
      <c r="AX248" s="36"/>
      <c r="AY248" s="36"/>
      <c r="AZ248" s="36"/>
      <c r="BA248" s="36"/>
      <c r="BB248" s="36"/>
      <c r="BC248" s="36"/>
      <c r="BD248" s="36"/>
      <c r="BE248" s="36"/>
    </row>
    <row r="249" spans="1:59" s="289" customFormat="1" ht="18" x14ac:dyDescent="0.2">
      <c r="B249" s="286" t="s">
        <v>440</v>
      </c>
      <c r="C249" s="287"/>
      <c r="D249" s="288"/>
      <c r="G249" s="287"/>
      <c r="H249" s="288"/>
      <c r="K249" s="287"/>
      <c r="L249" s="287"/>
      <c r="M249" s="288"/>
      <c r="N249" s="288"/>
      <c r="O249" s="291"/>
      <c r="P249" s="311"/>
      <c r="Q249" s="295"/>
      <c r="R249" s="289" t="str">
        <f>IF(OR(ISNUMBER(#REF!),ISNUMBER(#REF!),ISNUMBER(#REF!)),SUM(#REF!,#REF!,#REF!),"")</f>
        <v/>
      </c>
      <c r="S249" s="294"/>
      <c r="T249" s="294"/>
      <c r="U249" s="294"/>
      <c r="V249" s="294"/>
      <c r="W249" s="294"/>
      <c r="X249" s="294"/>
      <c r="Y249" s="294"/>
      <c r="Z249" s="294"/>
      <c r="AA249" s="294"/>
      <c r="AB249" s="294"/>
      <c r="AC249" s="294"/>
      <c r="AD249" s="294"/>
      <c r="AE249" s="294"/>
      <c r="AF249" s="294"/>
      <c r="AG249" s="294"/>
      <c r="AH249" s="294"/>
      <c r="AI249" s="294"/>
      <c r="AJ249" s="294"/>
      <c r="AK249" s="294"/>
      <c r="AL249" s="294"/>
      <c r="AM249" s="294"/>
      <c r="AN249" s="295"/>
      <c r="AO249" s="295"/>
      <c r="AP249" s="295"/>
      <c r="AQ249" s="295"/>
      <c r="AR249" s="295"/>
      <c r="AS249" s="295"/>
      <c r="AT249" s="295"/>
      <c r="AU249" s="295"/>
      <c r="AV249" s="295"/>
      <c r="AW249" s="295"/>
      <c r="AX249" s="295"/>
      <c r="AY249" s="295"/>
      <c r="AZ249" s="295"/>
      <c r="BA249" s="295"/>
      <c r="BB249" s="295"/>
      <c r="BC249" s="295"/>
      <c r="BD249" s="295"/>
      <c r="BE249" s="295"/>
    </row>
    <row r="250" spans="1:59" s="30" customFormat="1" ht="15" x14ac:dyDescent="0.2">
      <c r="C250" s="33"/>
      <c r="D250" s="81"/>
      <c r="G250" s="33"/>
      <c r="H250" s="81"/>
      <c r="K250" s="33"/>
      <c r="L250" s="33"/>
      <c r="M250" s="81"/>
      <c r="N250" s="81"/>
      <c r="O250" s="81"/>
      <c r="Q250" s="34"/>
      <c r="R250" s="95"/>
      <c r="S250" s="35"/>
      <c r="T250" s="35"/>
      <c r="U250" s="35"/>
      <c r="V250" s="35"/>
      <c r="W250" s="35"/>
      <c r="X250" s="35"/>
      <c r="Y250" s="35"/>
      <c r="Z250" s="35"/>
      <c r="AA250" s="35"/>
      <c r="AB250" s="35"/>
      <c r="AC250" s="35"/>
      <c r="AD250" s="35"/>
      <c r="AE250" s="35"/>
      <c r="AF250" s="35"/>
      <c r="AG250" s="35"/>
      <c r="AH250" s="35"/>
      <c r="AI250" s="35"/>
      <c r="AJ250" s="35"/>
      <c r="AK250" s="35"/>
      <c r="AL250" s="35"/>
      <c r="AM250" s="35"/>
      <c r="AN250" s="36"/>
      <c r="AO250" s="36"/>
      <c r="AP250" s="36"/>
      <c r="AQ250" s="36"/>
      <c r="AR250" s="36"/>
      <c r="AS250" s="36"/>
      <c r="AT250" s="36"/>
      <c r="AU250" s="36"/>
      <c r="AV250" s="36"/>
      <c r="AW250" s="36"/>
      <c r="AX250" s="36"/>
      <c r="AY250" s="36"/>
      <c r="AZ250" s="36"/>
      <c r="BA250" s="36"/>
      <c r="BB250" s="36"/>
      <c r="BC250" s="36"/>
      <c r="BD250" s="36"/>
      <c r="BE250" s="36"/>
      <c r="BF250" s="104"/>
      <c r="BG250" s="104"/>
    </row>
    <row r="251" spans="1:59" s="289" customFormat="1" ht="18" x14ac:dyDescent="0.2">
      <c r="B251" s="286" t="s">
        <v>55</v>
      </c>
      <c r="C251" s="287"/>
      <c r="D251" s="288"/>
      <c r="G251" s="287"/>
      <c r="H251" s="288"/>
      <c r="K251" s="287"/>
      <c r="L251" s="287"/>
      <c r="M251" s="288"/>
      <c r="N251" s="288"/>
      <c r="O251" s="291"/>
      <c r="P251" s="311"/>
      <c r="Q251" s="295"/>
      <c r="R251" s="289" t="str">
        <f>IF(OR(ISNUMBER(#REF!),ISNUMBER(#REF!),ISNUMBER(#REF!)),SUM(#REF!,#REF!,#REF!),"")</f>
        <v/>
      </c>
      <c r="S251" s="294"/>
      <c r="T251" s="294"/>
      <c r="U251" s="294"/>
      <c r="V251" s="294"/>
      <c r="W251" s="294"/>
      <c r="X251" s="294"/>
      <c r="Y251" s="294"/>
      <c r="Z251" s="294"/>
      <c r="AA251" s="294"/>
      <c r="AB251" s="294"/>
      <c r="AC251" s="294"/>
      <c r="AD251" s="294"/>
      <c r="AE251" s="294"/>
      <c r="AF251" s="294"/>
      <c r="AG251" s="294"/>
      <c r="AH251" s="294"/>
      <c r="AI251" s="294"/>
      <c r="AJ251" s="294"/>
      <c r="AK251" s="294"/>
      <c r="AL251" s="294"/>
      <c r="AM251" s="294"/>
      <c r="AN251" s="295"/>
      <c r="AO251" s="295"/>
      <c r="AP251" s="295"/>
      <c r="AQ251" s="295"/>
      <c r="AR251" s="295"/>
      <c r="AS251" s="295"/>
      <c r="AT251" s="295"/>
      <c r="AU251" s="295"/>
      <c r="AV251" s="295"/>
      <c r="AW251" s="295"/>
      <c r="AX251" s="295"/>
      <c r="AY251" s="295"/>
      <c r="AZ251" s="295"/>
      <c r="BA251" s="295"/>
      <c r="BB251" s="295"/>
      <c r="BC251" s="295"/>
      <c r="BD251" s="295"/>
      <c r="BE251" s="295"/>
    </row>
    <row r="252" spans="1:59" s="30" customFormat="1" ht="15.75" x14ac:dyDescent="0.2">
      <c r="B252" s="8"/>
      <c r="C252" s="33"/>
      <c r="D252" s="81"/>
      <c r="G252" s="33"/>
      <c r="H252" s="81"/>
      <c r="K252" s="33"/>
      <c r="L252" s="33"/>
      <c r="M252" s="81"/>
      <c r="N252" s="81"/>
      <c r="O252" s="249" t="s">
        <v>584</v>
      </c>
      <c r="Q252" s="34"/>
      <c r="R252" s="95"/>
      <c r="S252" s="35"/>
      <c r="T252" s="35"/>
      <c r="U252" s="35"/>
      <c r="V252" s="35"/>
      <c r="W252" s="35"/>
      <c r="X252" s="35"/>
      <c r="Y252" s="35"/>
      <c r="Z252" s="35"/>
      <c r="AA252" s="35"/>
      <c r="AB252" s="35"/>
      <c r="AC252" s="35"/>
      <c r="AD252" s="35"/>
      <c r="AE252" s="35"/>
      <c r="AF252" s="35"/>
      <c r="AG252" s="35"/>
      <c r="AH252" s="35"/>
      <c r="AI252" s="35"/>
      <c r="AJ252" s="35"/>
      <c r="AK252" s="35"/>
      <c r="AL252" s="35"/>
      <c r="AM252" s="35"/>
      <c r="AN252" s="36"/>
      <c r="AO252" s="36"/>
      <c r="AP252" s="36"/>
      <c r="AQ252" s="36"/>
      <c r="AR252" s="36"/>
      <c r="AS252" s="36"/>
      <c r="AT252" s="36"/>
      <c r="AU252" s="36"/>
      <c r="AV252" s="36"/>
      <c r="AW252" s="36"/>
      <c r="AX252" s="36"/>
      <c r="AY252" s="36"/>
      <c r="AZ252" s="36"/>
      <c r="BA252" s="36"/>
      <c r="BB252" s="36"/>
      <c r="BC252" s="36"/>
      <c r="BD252" s="36"/>
      <c r="BE252" s="36"/>
    </row>
    <row r="253" spans="1:59" s="30" customFormat="1" ht="15" x14ac:dyDescent="0.2">
      <c r="B253" s="151" t="s">
        <v>441</v>
      </c>
      <c r="C253" s="33"/>
      <c r="D253" s="81"/>
      <c r="G253" s="33"/>
      <c r="H253" s="81"/>
      <c r="K253" s="37" t="s">
        <v>297</v>
      </c>
      <c r="L253" s="37" t="s">
        <v>185</v>
      </c>
      <c r="M253" s="81"/>
      <c r="N253" s="81"/>
      <c r="O253" s="250"/>
      <c r="Q253" s="34"/>
      <c r="R253" s="35" t="s">
        <v>318</v>
      </c>
      <c r="S253" s="35"/>
      <c r="T253" s="35" t="s">
        <v>246</v>
      </c>
      <c r="U253" s="104"/>
      <c r="V253" s="35"/>
      <c r="W253" s="35"/>
      <c r="X253" s="35"/>
      <c r="Y253" s="35"/>
      <c r="Z253" s="35"/>
      <c r="AA253" s="35"/>
      <c r="AB253" s="35"/>
      <c r="AC253" s="35"/>
      <c r="AD253" s="35"/>
      <c r="AE253" s="35"/>
      <c r="AF253" s="35"/>
      <c r="AG253" s="35"/>
      <c r="AH253" s="35"/>
      <c r="AI253" s="35"/>
      <c r="AJ253" s="35"/>
      <c r="AK253" s="35"/>
      <c r="AL253" s="35"/>
      <c r="AM253" s="35"/>
      <c r="AN253" s="36"/>
      <c r="AO253" s="36"/>
      <c r="AP253" s="36"/>
      <c r="AQ253" s="36"/>
      <c r="AR253" s="36"/>
      <c r="AS253" s="36"/>
      <c r="AT253" s="36"/>
      <c r="AU253" s="36"/>
      <c r="AV253" s="36"/>
      <c r="AW253" s="36"/>
      <c r="AX253" s="36"/>
      <c r="AY253" s="36"/>
      <c r="AZ253" s="36"/>
      <c r="BA253" s="36"/>
      <c r="BB253" s="36"/>
      <c r="BC253" s="36"/>
      <c r="BD253" s="36"/>
      <c r="BE253" s="36"/>
    </row>
    <row r="254" spans="1:59" s="30" customFormat="1" ht="15" x14ac:dyDescent="0.2">
      <c r="B254" s="52" t="s">
        <v>461</v>
      </c>
      <c r="C254" s="471" t="s">
        <v>300</v>
      </c>
      <c r="D254" s="472"/>
      <c r="E254" s="472"/>
      <c r="F254" s="472"/>
      <c r="G254" s="473"/>
      <c r="H254" s="81"/>
      <c r="J254" s="32" t="s">
        <v>424</v>
      </c>
      <c r="K254" s="92" t="str">
        <f>IFERROR(IF(ISNUMBER(L254),L254,(VLOOKUP(C254,Kalusto!$C$5:$E$42,3,FALSE))*(VLOOKUP(C255,Muut!$D$40:$E$43,2,FALSE))),"--")</f>
        <v>--</v>
      </c>
      <c r="L254" s="39"/>
      <c r="M254" s="40" t="s">
        <v>189</v>
      </c>
      <c r="N254" s="40"/>
      <c r="O254" s="259"/>
      <c r="Q254" s="34"/>
      <c r="R254" s="48" t="str">
        <f>IF(ISNUMBER(K254*T254),K254*T254,"")</f>
        <v/>
      </c>
      <c r="S254" s="98" t="s">
        <v>160</v>
      </c>
      <c r="T254" s="48" t="str">
        <f>IF(ISNUMBER(C256),C256,"")</f>
        <v/>
      </c>
      <c r="U254" s="104"/>
      <c r="V254" s="59"/>
      <c r="W254" s="35"/>
      <c r="X254" s="35"/>
      <c r="Y254" s="35"/>
      <c r="Z254" s="35"/>
      <c r="AA254" s="35"/>
      <c r="AB254" s="35"/>
      <c r="AC254" s="35"/>
      <c r="AD254" s="35"/>
      <c r="AE254" s="35"/>
      <c r="AF254" s="35"/>
      <c r="AG254" s="35"/>
      <c r="AH254" s="35"/>
      <c r="AI254" s="35"/>
      <c r="AJ254" s="35"/>
      <c r="AK254" s="35"/>
      <c r="AL254" s="35"/>
      <c r="AM254" s="35"/>
      <c r="AN254" s="36"/>
      <c r="AO254" s="36"/>
      <c r="AP254" s="36"/>
      <c r="AQ254" s="36"/>
      <c r="AR254" s="36"/>
      <c r="AS254" s="36"/>
      <c r="AT254" s="36"/>
      <c r="AU254" s="36"/>
      <c r="AV254" s="36"/>
      <c r="AW254" s="36"/>
      <c r="AX254" s="36"/>
      <c r="AY254" s="36"/>
      <c r="AZ254" s="36"/>
      <c r="BA254" s="36"/>
      <c r="BB254" s="36"/>
      <c r="BC254" s="36"/>
      <c r="BD254" s="36"/>
      <c r="BE254" s="36"/>
    </row>
    <row r="255" spans="1:59" s="30" customFormat="1" ht="15" x14ac:dyDescent="0.2">
      <c r="B255" s="166" t="s">
        <v>460</v>
      </c>
      <c r="C255" s="156" t="s">
        <v>309</v>
      </c>
      <c r="D255" s="33"/>
      <c r="E255" s="33"/>
      <c r="F255" s="33"/>
      <c r="G255" s="33"/>
      <c r="H255" s="57"/>
      <c r="J255" s="169"/>
      <c r="K255" s="169"/>
      <c r="L255" s="169"/>
      <c r="M255" s="40"/>
      <c r="N255" s="40"/>
      <c r="O255" s="259"/>
      <c r="Q255" s="45"/>
      <c r="R255" s="59"/>
      <c r="S255" s="98"/>
      <c r="T255" s="35"/>
      <c r="U255" s="35"/>
      <c r="V255" s="177"/>
      <c r="W255" s="177"/>
      <c r="X255" s="59"/>
      <c r="Y255" s="35"/>
      <c r="Z255" s="59"/>
      <c r="AA255" s="178"/>
      <c r="AB255" s="59"/>
      <c r="AC255" s="59"/>
      <c r="AD255" s="59"/>
      <c r="AE255" s="59"/>
      <c r="AF255" s="178"/>
      <c r="AG255" s="59"/>
      <c r="AH255" s="35"/>
      <c r="AI255" s="35"/>
      <c r="AJ255" s="35"/>
      <c r="AK255" s="104"/>
      <c r="AL255" s="35"/>
      <c r="AM255" s="35"/>
      <c r="AN255" s="36"/>
      <c r="AO255" s="36"/>
      <c r="AP255" s="36"/>
      <c r="AQ255" s="36"/>
      <c r="AR255" s="36"/>
      <c r="AS255" s="36"/>
      <c r="AT255" s="36"/>
      <c r="AU255" s="36"/>
      <c r="AV255" s="36"/>
      <c r="AW255" s="36"/>
      <c r="AX255" s="36"/>
      <c r="AY255" s="36"/>
      <c r="AZ255" s="36"/>
      <c r="BA255" s="36"/>
      <c r="BB255" s="36"/>
      <c r="BC255" s="36"/>
      <c r="BD255" s="36"/>
      <c r="BE255" s="36"/>
    </row>
    <row r="256" spans="1:59" s="30" customFormat="1" ht="15" x14ac:dyDescent="0.2">
      <c r="B256" s="52" t="s">
        <v>427</v>
      </c>
      <c r="C256" s="189"/>
      <c r="D256" s="81" t="s">
        <v>51</v>
      </c>
      <c r="G256" s="33"/>
      <c r="H256" s="81"/>
      <c r="J256" s="32"/>
      <c r="K256" s="33"/>
      <c r="L256" s="33"/>
      <c r="M256" s="81"/>
      <c r="N256" s="81"/>
      <c r="O256" s="96"/>
      <c r="Q256" s="34"/>
      <c r="R256" s="35"/>
      <c r="S256" s="35"/>
      <c r="T256" s="35"/>
      <c r="U256" s="104"/>
      <c r="V256" s="35"/>
      <c r="W256" s="35"/>
      <c r="X256" s="35"/>
      <c r="Y256" s="35"/>
      <c r="Z256" s="35"/>
      <c r="AA256" s="35"/>
      <c r="AB256" s="35"/>
      <c r="AC256" s="35"/>
      <c r="AD256" s="35"/>
      <c r="AE256" s="35"/>
      <c r="AF256" s="35"/>
      <c r="AG256" s="35"/>
      <c r="AH256" s="35"/>
      <c r="AI256" s="35"/>
      <c r="AJ256" s="35"/>
      <c r="AK256" s="35"/>
      <c r="AL256" s="35"/>
      <c r="AM256" s="35"/>
      <c r="AN256" s="36"/>
      <c r="AO256" s="36"/>
      <c r="AP256" s="36"/>
      <c r="AQ256" s="36"/>
      <c r="AR256" s="36"/>
      <c r="AS256" s="36"/>
      <c r="AT256" s="36"/>
      <c r="AU256" s="36"/>
      <c r="AV256" s="36"/>
      <c r="AW256" s="36"/>
      <c r="AX256" s="36"/>
      <c r="AY256" s="36"/>
      <c r="AZ256" s="36"/>
      <c r="BA256" s="36"/>
      <c r="BB256" s="36"/>
      <c r="BC256" s="36"/>
      <c r="BD256" s="36"/>
      <c r="BE256" s="36"/>
    </row>
    <row r="257" spans="2:57" s="30" customFormat="1" ht="15" x14ac:dyDescent="0.2">
      <c r="B257" s="151" t="s">
        <v>442</v>
      </c>
      <c r="C257" s="33"/>
      <c r="D257" s="81"/>
      <c r="G257" s="33"/>
      <c r="H257" s="81"/>
      <c r="J257" s="32"/>
      <c r="K257" s="37" t="s">
        <v>297</v>
      </c>
      <c r="L257" s="37" t="s">
        <v>185</v>
      </c>
      <c r="M257" s="81"/>
      <c r="N257" s="81"/>
      <c r="O257" s="96"/>
      <c r="Q257" s="34"/>
      <c r="R257" s="35" t="s">
        <v>318</v>
      </c>
      <c r="S257" s="35"/>
      <c r="T257" s="35" t="s">
        <v>246</v>
      </c>
      <c r="U257" s="104"/>
      <c r="V257" s="35"/>
      <c r="W257" s="35"/>
      <c r="X257" s="35"/>
      <c r="Y257" s="35"/>
      <c r="Z257" s="35"/>
      <c r="AA257" s="35"/>
      <c r="AB257" s="35"/>
      <c r="AC257" s="35"/>
      <c r="AD257" s="35"/>
      <c r="AE257" s="35"/>
      <c r="AF257" s="35"/>
      <c r="AG257" s="35"/>
      <c r="AH257" s="35"/>
      <c r="AI257" s="35"/>
      <c r="AJ257" s="35"/>
      <c r="AK257" s="35"/>
      <c r="AL257" s="35"/>
      <c r="AM257" s="35"/>
      <c r="AN257" s="36"/>
      <c r="AO257" s="36"/>
      <c r="AP257" s="36"/>
      <c r="AQ257" s="36"/>
      <c r="AR257" s="36"/>
      <c r="AS257" s="36"/>
      <c r="AT257" s="36"/>
      <c r="AU257" s="36"/>
      <c r="AV257" s="36"/>
      <c r="AW257" s="36"/>
      <c r="AX257" s="36"/>
      <c r="AY257" s="36"/>
      <c r="AZ257" s="36"/>
      <c r="BA257" s="36"/>
      <c r="BB257" s="36"/>
      <c r="BC257" s="36"/>
      <c r="BD257" s="36"/>
      <c r="BE257" s="36"/>
    </row>
    <row r="258" spans="2:57" s="30" customFormat="1" ht="15" x14ac:dyDescent="0.2">
      <c r="B258" s="52" t="s">
        <v>461</v>
      </c>
      <c r="C258" s="471" t="s">
        <v>300</v>
      </c>
      <c r="D258" s="472"/>
      <c r="E258" s="472"/>
      <c r="F258" s="472"/>
      <c r="G258" s="473"/>
      <c r="H258" s="81"/>
      <c r="J258" s="32" t="s">
        <v>424</v>
      </c>
      <c r="K258" s="92" t="str">
        <f>IFERROR(IF(ISNUMBER(L258),L258,(VLOOKUP(C258,Kalusto!$C$5:$E$42,3,FALSE))*(VLOOKUP(C259,Muut!$D$40:$E$43,2,FALSE))),"--")</f>
        <v>--</v>
      </c>
      <c r="L258" s="39"/>
      <c r="M258" s="40" t="s">
        <v>189</v>
      </c>
      <c r="N258" s="40"/>
      <c r="O258" s="259"/>
      <c r="Q258" s="34"/>
      <c r="R258" s="48" t="str">
        <f>IF(ISNUMBER(K258*T258),K258*T258,"")</f>
        <v/>
      </c>
      <c r="S258" s="98" t="s">
        <v>160</v>
      </c>
      <c r="T258" s="48" t="str">
        <f>IF(ISNUMBER(C260),C260,"")</f>
        <v/>
      </c>
      <c r="U258" s="104"/>
      <c r="V258" s="59"/>
      <c r="W258" s="35"/>
      <c r="X258" s="35"/>
      <c r="Y258" s="35"/>
      <c r="Z258" s="35"/>
      <c r="AA258" s="35"/>
      <c r="AB258" s="35"/>
      <c r="AC258" s="35"/>
      <c r="AD258" s="35"/>
      <c r="AE258" s="35"/>
      <c r="AF258" s="35"/>
      <c r="AG258" s="35"/>
      <c r="AH258" s="35"/>
      <c r="AI258" s="35"/>
      <c r="AJ258" s="35"/>
      <c r="AK258" s="35"/>
      <c r="AL258" s="35"/>
      <c r="AM258" s="35"/>
      <c r="AN258" s="36"/>
      <c r="AO258" s="36"/>
      <c r="AP258" s="36"/>
      <c r="AQ258" s="36"/>
      <c r="AR258" s="36"/>
      <c r="AS258" s="36"/>
      <c r="AT258" s="36"/>
      <c r="AU258" s="36"/>
      <c r="AV258" s="36"/>
      <c r="AW258" s="36"/>
      <c r="AX258" s="36"/>
      <c r="AY258" s="36"/>
      <c r="AZ258" s="36"/>
      <c r="BA258" s="36"/>
      <c r="BB258" s="36"/>
      <c r="BC258" s="36"/>
      <c r="BD258" s="36"/>
      <c r="BE258" s="36"/>
    </row>
    <row r="259" spans="2:57" s="30" customFormat="1" ht="15" x14ac:dyDescent="0.2">
      <c r="B259" s="166" t="s">
        <v>460</v>
      </c>
      <c r="C259" s="156" t="s">
        <v>309</v>
      </c>
      <c r="D259" s="33"/>
      <c r="E259" s="33"/>
      <c r="F259" s="33"/>
      <c r="G259" s="33"/>
      <c r="H259" s="57"/>
      <c r="J259" s="169"/>
      <c r="K259" s="169"/>
      <c r="L259" s="169"/>
      <c r="M259" s="40"/>
      <c r="N259" s="40"/>
      <c r="O259" s="259"/>
      <c r="Q259" s="45"/>
      <c r="R259" s="59"/>
      <c r="S259" s="98"/>
      <c r="T259" s="35"/>
      <c r="U259" s="35"/>
      <c r="V259" s="177"/>
      <c r="W259" s="177"/>
      <c r="X259" s="59"/>
      <c r="Y259" s="35"/>
      <c r="Z259" s="59"/>
      <c r="AA259" s="178"/>
      <c r="AB259" s="59"/>
      <c r="AC259" s="59"/>
      <c r="AD259" s="59"/>
      <c r="AE259" s="59"/>
      <c r="AF259" s="178"/>
      <c r="AG259" s="59"/>
      <c r="AH259" s="35"/>
      <c r="AI259" s="35"/>
      <c r="AJ259" s="35"/>
      <c r="AK259" s="104"/>
      <c r="AL259" s="35"/>
      <c r="AM259" s="35"/>
      <c r="AN259" s="36"/>
      <c r="AO259" s="36"/>
      <c r="AP259" s="36"/>
      <c r="AQ259" s="36"/>
      <c r="AR259" s="36"/>
      <c r="AS259" s="36"/>
      <c r="AT259" s="36"/>
      <c r="AU259" s="36"/>
      <c r="AV259" s="36"/>
      <c r="AW259" s="36"/>
      <c r="AX259" s="36"/>
      <c r="AY259" s="36"/>
      <c r="AZ259" s="36"/>
      <c r="BA259" s="36"/>
      <c r="BB259" s="36"/>
      <c r="BC259" s="36"/>
      <c r="BD259" s="36"/>
      <c r="BE259" s="36"/>
    </row>
    <row r="260" spans="2:57" s="30" customFormat="1" ht="15" x14ac:dyDescent="0.2">
      <c r="B260" s="52" t="s">
        <v>427</v>
      </c>
      <c r="C260" s="189"/>
      <c r="D260" s="81" t="s">
        <v>51</v>
      </c>
      <c r="G260" s="33"/>
      <c r="H260" s="81"/>
      <c r="J260" s="32"/>
      <c r="K260" s="33"/>
      <c r="L260" s="33"/>
      <c r="M260" s="81"/>
      <c r="N260" s="81"/>
      <c r="O260" s="96"/>
      <c r="Q260" s="34"/>
      <c r="R260" s="35"/>
      <c r="S260" s="35"/>
      <c r="T260" s="35"/>
      <c r="U260" s="104"/>
      <c r="V260" s="35"/>
      <c r="W260" s="35"/>
      <c r="X260" s="35"/>
      <c r="Y260" s="35"/>
      <c r="Z260" s="35"/>
      <c r="AA260" s="35"/>
      <c r="AB260" s="35"/>
      <c r="AC260" s="35"/>
      <c r="AD260" s="35"/>
      <c r="AE260" s="35"/>
      <c r="AF260" s="35"/>
      <c r="AG260" s="35"/>
      <c r="AH260" s="35"/>
      <c r="AI260" s="35"/>
      <c r="AJ260" s="35"/>
      <c r="AK260" s="35"/>
      <c r="AL260" s="35"/>
      <c r="AM260" s="35"/>
      <c r="AN260" s="36"/>
      <c r="AO260" s="36"/>
      <c r="AP260" s="36"/>
      <c r="AQ260" s="36"/>
      <c r="AR260" s="36"/>
      <c r="AS260" s="36"/>
      <c r="AT260" s="36"/>
      <c r="AU260" s="36"/>
      <c r="AV260" s="36"/>
      <c r="AW260" s="36"/>
      <c r="AX260" s="36"/>
      <c r="AY260" s="36"/>
      <c r="AZ260" s="36"/>
      <c r="BA260" s="36"/>
      <c r="BB260" s="36"/>
      <c r="BC260" s="36"/>
      <c r="BD260" s="36"/>
      <c r="BE260" s="36"/>
    </row>
    <row r="261" spans="2:57" s="30" customFormat="1" ht="15" x14ac:dyDescent="0.2">
      <c r="B261" s="151" t="s">
        <v>443</v>
      </c>
      <c r="C261" s="33"/>
      <c r="D261" s="81"/>
      <c r="G261" s="33"/>
      <c r="H261" s="81"/>
      <c r="J261" s="32"/>
      <c r="K261" s="37" t="s">
        <v>297</v>
      </c>
      <c r="L261" s="37" t="s">
        <v>185</v>
      </c>
      <c r="M261" s="81"/>
      <c r="N261" s="81"/>
      <c r="O261" s="96"/>
      <c r="Q261" s="34"/>
      <c r="R261" s="35" t="s">
        <v>318</v>
      </c>
      <c r="S261" s="35"/>
      <c r="T261" s="35" t="s">
        <v>246</v>
      </c>
      <c r="U261" s="104"/>
      <c r="V261" s="35"/>
      <c r="W261" s="35"/>
      <c r="X261" s="35"/>
      <c r="Y261" s="35"/>
      <c r="Z261" s="35"/>
      <c r="AA261" s="35"/>
      <c r="AB261" s="35"/>
      <c r="AC261" s="35"/>
      <c r="AD261" s="35"/>
      <c r="AE261" s="35"/>
      <c r="AF261" s="35"/>
      <c r="AG261" s="35"/>
      <c r="AH261" s="35"/>
      <c r="AI261" s="35"/>
      <c r="AJ261" s="35"/>
      <c r="AK261" s="35"/>
      <c r="AL261" s="35"/>
      <c r="AM261" s="35"/>
      <c r="AN261" s="36"/>
      <c r="AO261" s="36"/>
      <c r="AP261" s="36"/>
      <c r="AQ261" s="36"/>
      <c r="AR261" s="36"/>
      <c r="AS261" s="36"/>
      <c r="AT261" s="36"/>
      <c r="AU261" s="36"/>
      <c r="AV261" s="36"/>
      <c r="AW261" s="36"/>
      <c r="AX261" s="36"/>
      <c r="AY261" s="36"/>
      <c r="AZ261" s="36"/>
      <c r="BA261" s="36"/>
      <c r="BB261" s="36"/>
      <c r="BC261" s="36"/>
      <c r="BD261" s="36"/>
      <c r="BE261" s="36"/>
    </row>
    <row r="262" spans="2:57" s="30" customFormat="1" ht="15" x14ac:dyDescent="0.2">
      <c r="B262" s="52" t="s">
        <v>461</v>
      </c>
      <c r="C262" s="471" t="s">
        <v>300</v>
      </c>
      <c r="D262" s="472"/>
      <c r="E262" s="472"/>
      <c r="F262" s="472"/>
      <c r="G262" s="473"/>
      <c r="H262" s="81"/>
      <c r="J262" s="32" t="s">
        <v>424</v>
      </c>
      <c r="K262" s="92" t="str">
        <f>IFERROR(IF(ISNUMBER(L262),L262,(VLOOKUP(C262,Kalusto!$C$5:$E$42,3,FALSE))*(VLOOKUP(C263,Muut!$D$40:$E$43,2,FALSE))),"--")</f>
        <v>--</v>
      </c>
      <c r="L262" s="39"/>
      <c r="M262" s="40" t="s">
        <v>189</v>
      </c>
      <c r="N262" s="40"/>
      <c r="O262" s="259"/>
      <c r="Q262" s="34"/>
      <c r="R262" s="48" t="str">
        <f>IF(ISNUMBER(K262*T262),K262*T262,"")</f>
        <v/>
      </c>
      <c r="S262" s="98" t="s">
        <v>160</v>
      </c>
      <c r="T262" s="48" t="str">
        <f>IF(ISNUMBER(C264),C264,"")</f>
        <v/>
      </c>
      <c r="U262" s="104"/>
      <c r="V262" s="59"/>
      <c r="W262" s="35"/>
      <c r="X262" s="35"/>
      <c r="Y262" s="35"/>
      <c r="Z262" s="35"/>
      <c r="AA262" s="35"/>
      <c r="AB262" s="35"/>
      <c r="AC262" s="35"/>
      <c r="AD262" s="35"/>
      <c r="AE262" s="35"/>
      <c r="AF262" s="35"/>
      <c r="AG262" s="35"/>
      <c r="AH262" s="35"/>
      <c r="AI262" s="35"/>
      <c r="AJ262" s="35"/>
      <c r="AK262" s="35"/>
      <c r="AL262" s="35"/>
      <c r="AM262" s="35"/>
      <c r="AN262" s="36"/>
      <c r="AO262" s="36"/>
      <c r="AP262" s="36"/>
      <c r="AQ262" s="36"/>
      <c r="AR262" s="36"/>
      <c r="AS262" s="36"/>
      <c r="AT262" s="36"/>
      <c r="AU262" s="36"/>
      <c r="AV262" s="36"/>
      <c r="AW262" s="36"/>
      <c r="AX262" s="36"/>
      <c r="AY262" s="36"/>
      <c r="AZ262" s="36"/>
      <c r="BA262" s="36"/>
      <c r="BB262" s="36"/>
      <c r="BC262" s="36"/>
      <c r="BD262" s="36"/>
      <c r="BE262" s="36"/>
    </row>
    <row r="263" spans="2:57" s="30" customFormat="1" ht="15" x14ac:dyDescent="0.2">
      <c r="B263" s="166" t="s">
        <v>460</v>
      </c>
      <c r="C263" s="156" t="s">
        <v>309</v>
      </c>
      <c r="D263" s="33"/>
      <c r="E263" s="33"/>
      <c r="F263" s="33"/>
      <c r="G263" s="33"/>
      <c r="H263" s="57"/>
      <c r="J263" s="169"/>
      <c r="K263" s="169"/>
      <c r="L263" s="169"/>
      <c r="M263" s="40"/>
      <c r="N263" s="40"/>
      <c r="O263" s="259"/>
      <c r="Q263" s="45"/>
      <c r="R263" s="59"/>
      <c r="S263" s="98"/>
      <c r="T263" s="35"/>
      <c r="U263" s="35"/>
      <c r="V263" s="177"/>
      <c r="W263" s="177"/>
      <c r="X263" s="59"/>
      <c r="Y263" s="35"/>
      <c r="Z263" s="59"/>
      <c r="AA263" s="178"/>
      <c r="AB263" s="59"/>
      <c r="AC263" s="59"/>
      <c r="AD263" s="59"/>
      <c r="AE263" s="59"/>
      <c r="AF263" s="178"/>
      <c r="AG263" s="59"/>
      <c r="AH263" s="35"/>
      <c r="AI263" s="35"/>
      <c r="AJ263" s="35"/>
      <c r="AK263" s="104"/>
      <c r="AL263" s="35"/>
      <c r="AM263" s="35"/>
      <c r="AN263" s="36"/>
      <c r="AO263" s="36"/>
      <c r="AP263" s="36"/>
      <c r="AQ263" s="36"/>
      <c r="AR263" s="36"/>
      <c r="AS263" s="36"/>
      <c r="AT263" s="36"/>
      <c r="AU263" s="36"/>
      <c r="AV263" s="36"/>
      <c r="AW263" s="36"/>
      <c r="AX263" s="36"/>
      <c r="AY263" s="36"/>
      <c r="AZ263" s="36"/>
      <c r="BA263" s="36"/>
      <c r="BB263" s="36"/>
      <c r="BC263" s="36"/>
      <c r="BD263" s="36"/>
      <c r="BE263" s="36"/>
    </row>
    <row r="264" spans="2:57" s="30" customFormat="1" ht="15" x14ac:dyDescent="0.2">
      <c r="B264" s="52" t="s">
        <v>427</v>
      </c>
      <c r="C264" s="189"/>
      <c r="D264" s="81" t="s">
        <v>51</v>
      </c>
      <c r="G264" s="33"/>
      <c r="H264" s="81"/>
      <c r="J264" s="32"/>
      <c r="K264" s="33"/>
      <c r="L264" s="33"/>
      <c r="M264" s="81"/>
      <c r="N264" s="81"/>
      <c r="O264" s="96"/>
      <c r="Q264" s="34"/>
      <c r="R264" s="95"/>
      <c r="S264" s="35"/>
      <c r="T264" s="35"/>
      <c r="U264" s="35"/>
      <c r="V264" s="35"/>
      <c r="W264" s="35"/>
      <c r="X264" s="35"/>
      <c r="Y264" s="35"/>
      <c r="Z264" s="35"/>
      <c r="AA264" s="35"/>
      <c r="AB264" s="35"/>
      <c r="AC264" s="35"/>
      <c r="AD264" s="35"/>
      <c r="AE264" s="35"/>
      <c r="AF264" s="35"/>
      <c r="AG264" s="35"/>
      <c r="AH264" s="35"/>
      <c r="AI264" s="35"/>
      <c r="AJ264" s="35"/>
      <c r="AK264" s="35"/>
      <c r="AL264" s="35"/>
      <c r="AM264" s="35"/>
      <c r="AN264" s="36"/>
      <c r="AO264" s="36"/>
      <c r="AP264" s="36"/>
      <c r="AQ264" s="36"/>
      <c r="AR264" s="36"/>
      <c r="AS264" s="36"/>
      <c r="AT264" s="36"/>
      <c r="AU264" s="36"/>
      <c r="AV264" s="36"/>
      <c r="AW264" s="36"/>
      <c r="AX264" s="36"/>
      <c r="AY264" s="36"/>
      <c r="AZ264" s="36"/>
      <c r="BA264" s="36"/>
      <c r="BB264" s="36"/>
      <c r="BC264" s="36"/>
      <c r="BD264" s="36"/>
      <c r="BE264" s="36"/>
    </row>
    <row r="265" spans="2:57" s="30" customFormat="1" ht="15" x14ac:dyDescent="0.2">
      <c r="C265" s="33"/>
      <c r="D265" s="81"/>
      <c r="G265" s="33"/>
      <c r="H265" s="81"/>
      <c r="K265" s="33"/>
      <c r="L265" s="33"/>
      <c r="M265" s="81"/>
      <c r="N265" s="81"/>
      <c r="O265" s="81"/>
      <c r="Q265" s="34"/>
      <c r="R265" s="95"/>
      <c r="S265" s="35"/>
      <c r="T265" s="35"/>
      <c r="U265" s="35"/>
      <c r="V265" s="35"/>
      <c r="W265" s="35"/>
      <c r="X265" s="35"/>
      <c r="Y265" s="35"/>
      <c r="Z265" s="35"/>
      <c r="AA265" s="35"/>
      <c r="AB265" s="35"/>
      <c r="AC265" s="35"/>
      <c r="AD265" s="35"/>
      <c r="AE265" s="35"/>
      <c r="AF265" s="35"/>
      <c r="AG265" s="35"/>
      <c r="AH265" s="35"/>
      <c r="AI265" s="35"/>
      <c r="AJ265" s="35"/>
      <c r="AK265" s="35"/>
      <c r="AL265" s="35"/>
      <c r="AM265" s="35"/>
      <c r="AN265" s="36"/>
      <c r="AO265" s="36"/>
      <c r="AP265" s="36"/>
      <c r="AQ265" s="36"/>
      <c r="AR265" s="36"/>
      <c r="AS265" s="36"/>
      <c r="AT265" s="36"/>
      <c r="AU265" s="36"/>
      <c r="AV265" s="36"/>
      <c r="AW265" s="36"/>
      <c r="AX265" s="36"/>
      <c r="AY265" s="36"/>
      <c r="AZ265" s="36"/>
      <c r="BA265" s="36"/>
      <c r="BB265" s="36"/>
      <c r="BC265" s="36"/>
      <c r="BD265" s="36"/>
      <c r="BE265" s="36"/>
    </row>
    <row r="266" spans="2:57" s="289" customFormat="1" ht="18" x14ac:dyDescent="0.2">
      <c r="B266" s="286" t="s">
        <v>676</v>
      </c>
      <c r="C266" s="287"/>
      <c r="D266" s="288"/>
      <c r="G266" s="287"/>
      <c r="H266" s="288"/>
      <c r="K266" s="287"/>
      <c r="L266" s="287"/>
      <c r="M266" s="288"/>
      <c r="N266" s="288"/>
      <c r="O266" s="291"/>
      <c r="P266" s="311"/>
      <c r="Q266" s="295"/>
      <c r="R266" s="289" t="str">
        <f>IF(OR(ISNUMBER(#REF!),ISNUMBER(#REF!),ISNUMBER(#REF!),ISNUMBER(#REF!),ISNUMBER(#REF!)),SUM(#REF!,#REF!,#REF!,#REF!,#REF!),"")</f>
        <v/>
      </c>
      <c r="S266" s="294"/>
      <c r="T266" s="294"/>
      <c r="U266" s="294"/>
      <c r="V266" s="294"/>
      <c r="W266" s="294"/>
      <c r="X266" s="294"/>
      <c r="Y266" s="294"/>
      <c r="Z266" s="294"/>
      <c r="AA266" s="294"/>
      <c r="AB266" s="294"/>
      <c r="AC266" s="294"/>
      <c r="AD266" s="294"/>
      <c r="AE266" s="294"/>
      <c r="AF266" s="294"/>
      <c r="AG266" s="294"/>
      <c r="AH266" s="294"/>
      <c r="AI266" s="294"/>
      <c r="AJ266" s="294"/>
      <c r="AK266" s="294"/>
      <c r="AL266" s="294"/>
      <c r="AM266" s="294"/>
      <c r="AN266" s="295"/>
      <c r="AO266" s="295"/>
      <c r="AP266" s="295"/>
      <c r="AQ266" s="295"/>
      <c r="AR266" s="295"/>
      <c r="AS266" s="295"/>
      <c r="AT266" s="295"/>
      <c r="AU266" s="295"/>
      <c r="AV266" s="295"/>
      <c r="AW266" s="295"/>
      <c r="AX266" s="295"/>
      <c r="AY266" s="295"/>
      <c r="AZ266" s="295"/>
      <c r="BA266" s="295"/>
      <c r="BB266" s="295"/>
      <c r="BC266" s="295"/>
      <c r="BD266" s="295"/>
      <c r="BE266" s="295"/>
    </row>
    <row r="267" spans="2:57" s="30" customFormat="1" ht="15.75" x14ac:dyDescent="0.2">
      <c r="B267" s="8"/>
      <c r="C267" s="33"/>
      <c r="D267" s="81"/>
      <c r="E267" s="33"/>
      <c r="F267" s="33"/>
      <c r="G267" s="37"/>
      <c r="H267" s="81"/>
      <c r="J267" s="32"/>
      <c r="K267" s="37"/>
      <c r="L267" s="37"/>
      <c r="M267" s="83"/>
      <c r="N267" s="83"/>
      <c r="O267" s="249" t="s">
        <v>584</v>
      </c>
      <c r="P267" s="37"/>
      <c r="Q267" s="34"/>
      <c r="R267" s="95"/>
      <c r="S267" s="35"/>
      <c r="T267" s="35"/>
      <c r="U267" s="35"/>
      <c r="V267" s="35"/>
      <c r="W267" s="35"/>
      <c r="X267" s="35"/>
      <c r="Y267" s="35"/>
      <c r="Z267" s="35"/>
      <c r="AA267" s="35"/>
      <c r="AB267" s="35"/>
      <c r="AC267" s="35"/>
      <c r="AD267" s="35"/>
      <c r="AE267" s="35"/>
      <c r="AF267" s="35"/>
      <c r="AG267" s="35"/>
      <c r="AH267" s="35"/>
      <c r="AI267" s="35"/>
      <c r="AJ267" s="35"/>
      <c r="AK267" s="35"/>
      <c r="AL267" s="35"/>
      <c r="AM267" s="35"/>
      <c r="AN267" s="36"/>
      <c r="AO267" s="36"/>
      <c r="AP267" s="36"/>
      <c r="AQ267" s="36"/>
      <c r="AR267" s="36"/>
      <c r="AS267" s="36"/>
      <c r="AT267" s="36"/>
      <c r="AU267" s="36"/>
      <c r="AV267" s="36"/>
      <c r="AW267" s="36"/>
      <c r="AX267" s="36"/>
      <c r="AY267" s="36"/>
      <c r="AZ267" s="36"/>
      <c r="BA267" s="36"/>
      <c r="BB267" s="36"/>
      <c r="BC267" s="36"/>
      <c r="BD267" s="36"/>
      <c r="BE267" s="36"/>
    </row>
    <row r="268" spans="2:57" s="30" customFormat="1" ht="15" x14ac:dyDescent="0.2">
      <c r="B268" s="151" t="s">
        <v>0</v>
      </c>
      <c r="C268" s="33" t="s">
        <v>50</v>
      </c>
      <c r="D268" s="81"/>
      <c r="E268" s="33"/>
      <c r="F268" s="33"/>
      <c r="G268" s="37" t="s">
        <v>183</v>
      </c>
      <c r="H268" s="81"/>
      <c r="J268" s="32"/>
      <c r="K268" s="37" t="s">
        <v>297</v>
      </c>
      <c r="L268" s="37" t="s">
        <v>185</v>
      </c>
      <c r="M268" s="83"/>
      <c r="N268" s="83"/>
      <c r="O268" s="250"/>
      <c r="P268" s="37"/>
      <c r="Q268" s="34"/>
      <c r="R268" s="35" t="s">
        <v>318</v>
      </c>
      <c r="S268" s="35"/>
      <c r="T268" s="35" t="s">
        <v>400</v>
      </c>
      <c r="U268" s="35" t="s">
        <v>399</v>
      </c>
      <c r="V268" s="35" t="s">
        <v>397</v>
      </c>
      <c r="W268" s="35" t="s">
        <v>398</v>
      </c>
      <c r="X268" s="35" t="s">
        <v>401</v>
      </c>
      <c r="Y268" s="35" t="s">
        <v>403</v>
      </c>
      <c r="Z268" s="35" t="s">
        <v>402</v>
      </c>
      <c r="AA268" s="35" t="s">
        <v>186</v>
      </c>
      <c r="AB268" s="35" t="s">
        <v>345</v>
      </c>
      <c r="AC268" s="35" t="s">
        <v>404</v>
      </c>
      <c r="AD268" s="35" t="s">
        <v>346</v>
      </c>
      <c r="AE268" s="35" t="s">
        <v>405</v>
      </c>
      <c r="AF268" s="35" t="s">
        <v>406</v>
      </c>
      <c r="AG268" s="35" t="s">
        <v>578</v>
      </c>
      <c r="AH268" s="35" t="s">
        <v>190</v>
      </c>
      <c r="AI268" s="35" t="s">
        <v>249</v>
      </c>
      <c r="AJ268" s="35" t="s">
        <v>191</v>
      </c>
      <c r="AK268" s="104"/>
      <c r="AL268" s="35"/>
      <c r="AM268" s="35"/>
      <c r="AN268" s="36"/>
      <c r="AO268" s="36"/>
      <c r="AP268" s="36"/>
      <c r="AQ268" s="36"/>
      <c r="AR268" s="36"/>
      <c r="AS268" s="36"/>
      <c r="AT268" s="36"/>
      <c r="AU268" s="36"/>
      <c r="AV268" s="36"/>
      <c r="AW268" s="36"/>
      <c r="AX268" s="36"/>
      <c r="AY268" s="36"/>
      <c r="AZ268" s="36"/>
      <c r="BA268" s="36"/>
      <c r="BB268" s="36"/>
      <c r="BC268" s="36"/>
      <c r="BD268" s="36"/>
      <c r="BE268" s="36"/>
    </row>
    <row r="269" spans="2:57" s="30" customFormat="1" ht="30" x14ac:dyDescent="0.2">
      <c r="B269" s="166" t="s">
        <v>501</v>
      </c>
      <c r="C269" s="152"/>
      <c r="D269" s="86" t="s">
        <v>52</v>
      </c>
      <c r="E269" s="57"/>
      <c r="F269" s="55"/>
      <c r="G269" s="157"/>
      <c r="H269" s="81" t="str">
        <f>IF(D269="t","","t/m3")</f>
        <v/>
      </c>
      <c r="J269" s="169" t="s">
        <v>395</v>
      </c>
      <c r="K269" s="92" t="str">
        <f>IFERROR(IF(ISNUMBER(L269),L269,(VLOOKUP(C270,Kalusto!$C$45:$G$84,5,FALSE)*VLOOKUP(C271,Muut!$D$40:$E$43,2,FALSE))),"--")</f>
        <v>--</v>
      </c>
      <c r="L269" s="39"/>
      <c r="M269" s="40" t="s">
        <v>184</v>
      </c>
      <c r="N269" s="40"/>
      <c r="O269" s="259"/>
      <c r="Q269" s="45"/>
      <c r="R269" s="48" t="str">
        <f>IF(AND(NOT(ISNUMBER(AB269)),NOT(ISNUMBER(AG269))),"",IF(ISNUMBER(AB269),AB269,0)+IF(ISNUMBER(AG269),AG269,0))</f>
        <v/>
      </c>
      <c r="S269" s="98" t="s">
        <v>160</v>
      </c>
      <c r="T269" s="46" t="str">
        <f>IFERROR(IF(ISNUMBER(L269),"Kohdetieto",VLOOKUP(C270,Kalusto!$C$45:$L$84,7,FALSE)),"--")</f>
        <v>--</v>
      </c>
      <c r="U269" s="46" t="str">
        <f>IFERROR(IF(ISNUMBER(L269),"Kohdetieto",VLOOKUP(C270,Kalusto!$C$45:$L$84,8,FALSE)),"--")</f>
        <v>--</v>
      </c>
      <c r="V269" s="47" t="str">
        <f>IFERROR(IF(ISNUMBER(L269),"Kohdetieto",VLOOKUP(C270,Kalusto!$C$45:$L$84,9,FALSE)),"--")</f>
        <v>--</v>
      </c>
      <c r="W269" s="47" t="str">
        <f>IFERROR(IF(ISNUMBER(L269),"Kohdetieto",VLOOKUP(C270,Kalusto!$C$45:$L$84,10,FALSE)),"--")</f>
        <v>--</v>
      </c>
      <c r="X269" s="48" t="str">
        <f>IF(ISBLANK(C269),"",IF(D269="t",C269,C269*G269))</f>
        <v/>
      </c>
      <c r="Y269" s="46" t="str">
        <f>IF(ISNUMBER(C272),C272,"")</f>
        <v/>
      </c>
      <c r="Z269" s="48" t="str">
        <f>IF(ISNUMBER(X269/(U269*V269)*Y269),X269/(U269*V269)*Y269,"")</f>
        <v/>
      </c>
      <c r="AA269" s="49" t="str">
        <f>IF(ISNUMBER(L269),L269,K269)</f>
        <v>--</v>
      </c>
      <c r="AB269" s="48" t="str">
        <f>IF(ISNUMBER(Y269*X269*K269),Y269*X269*K269,"")</f>
        <v/>
      </c>
      <c r="AC269" s="48" t="str">
        <f>IF(ISNUMBER(Y269),Y269,"")</f>
        <v/>
      </c>
      <c r="AD269" s="48" t="str">
        <f>IF(ISNUMBER(X269),IF(ISNUMBER(X269/(U269*V269)),CEILING(X269/(U269*V269),1),""),"")</f>
        <v/>
      </c>
      <c r="AE269" s="48" t="str">
        <f>IF(ISNUMBER(AD269*AC269),AD269*AC269,"")</f>
        <v/>
      </c>
      <c r="AF269" s="49" t="str">
        <f>IF(ISNUMBER(L270),L270,K270)</f>
        <v>--</v>
      </c>
      <c r="AG269" s="48" t="str">
        <f>IF(ISNUMBER(AC269*AD269*K270),AC269*AD269*K270,"")</f>
        <v/>
      </c>
      <c r="AH269" s="46">
        <f>IF(T269="Jakelukuorma-auto",0,IF(T269="Maansiirtoauto",4,IF(T269="Puoliperävaunu",6,8)))</f>
        <v>8</v>
      </c>
      <c r="AI269" s="46">
        <f>IF(AND(T269="Jakelukuorma-auto",U269=6),0,IF(AND(T269="Jakelukuorma-auto",U269=15),2,0))</f>
        <v>0</v>
      </c>
      <c r="AJ269" s="46">
        <f>IF(W269="maantieajo",0,1)</f>
        <v>1</v>
      </c>
      <c r="AK269" s="104"/>
      <c r="AL269" s="35"/>
      <c r="AM269" s="35"/>
      <c r="AN269" s="36"/>
      <c r="AO269" s="36"/>
      <c r="AP269" s="36"/>
      <c r="AQ269" s="36"/>
      <c r="AR269" s="36"/>
      <c r="AS269" s="36"/>
      <c r="AT269" s="36"/>
      <c r="AU269" s="36"/>
      <c r="AV269" s="36"/>
      <c r="AW269" s="36"/>
      <c r="AX269" s="36"/>
      <c r="AY269" s="36"/>
      <c r="AZ269" s="36"/>
      <c r="BA269" s="36"/>
      <c r="BB269" s="36"/>
      <c r="BC269" s="36"/>
      <c r="BD269" s="36"/>
      <c r="BE269" s="36"/>
    </row>
    <row r="270" spans="2:57" s="30" customFormat="1" ht="30" x14ac:dyDescent="0.2">
      <c r="B270" s="166" t="s">
        <v>499</v>
      </c>
      <c r="C270" s="471" t="s">
        <v>298</v>
      </c>
      <c r="D270" s="472"/>
      <c r="E270" s="472"/>
      <c r="F270" s="472"/>
      <c r="G270" s="473"/>
      <c r="J270" s="32" t="s">
        <v>396</v>
      </c>
      <c r="K270" s="92" t="str">
        <f>IFERROR(IF(ISNUMBER(L270),L270,(VLOOKUP(C270,Kalusto!$C$45:$V$84,19,FALSE)*(VLOOKUP(C271,Muut!$D$40:$E$43,2,FALSE)))),"--")</f>
        <v>--</v>
      </c>
      <c r="L270" s="39"/>
      <c r="M270" s="40" t="s">
        <v>188</v>
      </c>
      <c r="N270" s="40"/>
      <c r="O270" s="259"/>
      <c r="P270" s="33"/>
      <c r="Q270" s="50"/>
      <c r="R270" s="35"/>
      <c r="S270" s="35"/>
      <c r="T270" s="35"/>
      <c r="U270" s="35"/>
      <c r="V270" s="35"/>
      <c r="W270" s="35"/>
      <c r="X270" s="35"/>
      <c r="Y270" s="35"/>
      <c r="Z270" s="35"/>
      <c r="AA270" s="35"/>
      <c r="AB270" s="35"/>
      <c r="AC270" s="35"/>
      <c r="AD270" s="35"/>
      <c r="AE270" s="35"/>
      <c r="AF270" s="35"/>
      <c r="AG270" s="35"/>
      <c r="AH270" s="35"/>
      <c r="AI270" s="35"/>
      <c r="AJ270" s="35"/>
      <c r="AK270" s="104"/>
      <c r="AL270" s="35"/>
      <c r="AM270" s="35"/>
      <c r="AN270" s="36"/>
      <c r="AO270" s="36"/>
      <c r="AP270" s="36"/>
      <c r="AQ270" s="36"/>
      <c r="AR270" s="36"/>
      <c r="AS270" s="36"/>
      <c r="AT270" s="36"/>
      <c r="AU270" s="36"/>
      <c r="AV270" s="36"/>
      <c r="AW270" s="36"/>
      <c r="AX270" s="36"/>
      <c r="AY270" s="36"/>
      <c r="AZ270" s="36"/>
      <c r="BA270" s="36"/>
      <c r="BB270" s="36"/>
      <c r="BC270" s="36"/>
      <c r="BD270" s="36"/>
      <c r="BE270" s="36"/>
    </row>
    <row r="271" spans="2:57" s="30" customFormat="1" ht="15" x14ac:dyDescent="0.2">
      <c r="B271" s="182" t="s">
        <v>457</v>
      </c>
      <c r="C271" s="156" t="s">
        <v>223</v>
      </c>
      <c r="D271" s="33"/>
      <c r="E271" s="33"/>
      <c r="F271" s="33"/>
      <c r="G271" s="33"/>
      <c r="H271" s="57"/>
      <c r="J271" s="169"/>
      <c r="K271" s="169"/>
      <c r="L271" s="169"/>
      <c r="M271" s="40"/>
      <c r="N271" s="40"/>
      <c r="O271" s="259"/>
      <c r="Q271" s="45"/>
      <c r="R271" s="98"/>
      <c r="S271" s="98"/>
      <c r="T271" s="35"/>
      <c r="U271" s="35"/>
      <c r="V271" s="177"/>
      <c r="W271" s="177"/>
      <c r="X271" s="59"/>
      <c r="Y271" s="35"/>
      <c r="Z271" s="59"/>
      <c r="AA271" s="178"/>
      <c r="AB271" s="59"/>
      <c r="AC271" s="59"/>
      <c r="AD271" s="59"/>
      <c r="AE271" s="59"/>
      <c r="AF271" s="178"/>
      <c r="AG271" s="59"/>
      <c r="AH271" s="35"/>
      <c r="AI271" s="35"/>
      <c r="AJ271" s="35"/>
      <c r="AK271" s="104"/>
      <c r="AL271" s="35"/>
      <c r="AM271" s="35"/>
      <c r="AN271" s="36"/>
      <c r="AO271" s="36"/>
      <c r="AP271" s="36"/>
      <c r="AQ271" s="36"/>
      <c r="AR271" s="36"/>
      <c r="AS271" s="36"/>
      <c r="AT271" s="36"/>
      <c r="AU271" s="36"/>
      <c r="AV271" s="36"/>
      <c r="AW271" s="36"/>
      <c r="AX271" s="36"/>
      <c r="AY271" s="36"/>
      <c r="AZ271" s="36"/>
      <c r="BA271" s="36"/>
      <c r="BB271" s="36"/>
      <c r="BC271" s="36"/>
      <c r="BD271" s="36"/>
      <c r="BE271" s="36"/>
    </row>
    <row r="272" spans="2:57" s="30" customFormat="1" ht="15" x14ac:dyDescent="0.2">
      <c r="B272" s="44" t="s">
        <v>498</v>
      </c>
      <c r="C272" s="152"/>
      <c r="D272" s="81" t="s">
        <v>5</v>
      </c>
      <c r="G272" s="33"/>
      <c r="H272" s="52"/>
      <c r="I272" s="51"/>
      <c r="J272" s="51"/>
      <c r="K272" s="33"/>
      <c r="L272" s="33"/>
      <c r="M272" s="81"/>
      <c r="N272" s="81"/>
      <c r="O272" s="96"/>
      <c r="P272" s="51"/>
      <c r="Q272" s="50"/>
      <c r="R272" s="35"/>
      <c r="S272" s="35"/>
      <c r="T272" s="35"/>
      <c r="U272" s="35"/>
      <c r="V272" s="35"/>
      <c r="W272" s="35"/>
      <c r="X272" s="35"/>
      <c r="Y272" s="35"/>
      <c r="Z272" s="35"/>
      <c r="AA272" s="35"/>
      <c r="AB272" s="35"/>
      <c r="AC272" s="35"/>
      <c r="AD272" s="35"/>
      <c r="AE272" s="35"/>
      <c r="AF272" s="35"/>
      <c r="AG272" s="35"/>
      <c r="AH272" s="35"/>
      <c r="AI272" s="35"/>
      <c r="AJ272" s="35"/>
      <c r="AK272" s="104"/>
      <c r="AL272" s="35"/>
      <c r="AM272" s="35"/>
      <c r="AN272" s="36"/>
      <c r="AO272" s="36"/>
      <c r="AP272" s="36"/>
      <c r="AQ272" s="36"/>
      <c r="AR272" s="36"/>
      <c r="AS272" s="36"/>
      <c r="AT272" s="36"/>
      <c r="AU272" s="36"/>
      <c r="AV272" s="36"/>
      <c r="AW272" s="36"/>
      <c r="AX272" s="36"/>
      <c r="AY272" s="36"/>
      <c r="AZ272" s="36"/>
      <c r="BA272" s="36"/>
      <c r="BB272" s="36"/>
      <c r="BC272" s="36"/>
      <c r="BD272" s="36"/>
      <c r="BE272" s="36"/>
    </row>
    <row r="273" spans="2:57" s="30" customFormat="1" ht="15" x14ac:dyDescent="0.2">
      <c r="B273" s="151" t="s">
        <v>1</v>
      </c>
      <c r="C273" s="33"/>
      <c r="D273" s="81"/>
      <c r="E273" s="33"/>
      <c r="F273" s="33"/>
      <c r="G273" s="37"/>
      <c r="H273" s="81"/>
      <c r="J273" s="32"/>
      <c r="K273" s="37" t="s">
        <v>297</v>
      </c>
      <c r="L273" s="37" t="s">
        <v>185</v>
      </c>
      <c r="M273" s="81"/>
      <c r="N273" s="81"/>
      <c r="O273" s="96"/>
      <c r="P273" s="33"/>
      <c r="Q273" s="34"/>
      <c r="R273" s="35" t="s">
        <v>318</v>
      </c>
      <c r="S273" s="35"/>
      <c r="T273" s="35" t="s">
        <v>400</v>
      </c>
      <c r="U273" s="35" t="s">
        <v>399</v>
      </c>
      <c r="V273" s="35" t="s">
        <v>397</v>
      </c>
      <c r="W273" s="35" t="s">
        <v>398</v>
      </c>
      <c r="X273" s="35" t="s">
        <v>401</v>
      </c>
      <c r="Y273" s="35" t="s">
        <v>403</v>
      </c>
      <c r="Z273" s="35" t="s">
        <v>402</v>
      </c>
      <c r="AA273" s="35" t="s">
        <v>186</v>
      </c>
      <c r="AB273" s="35" t="s">
        <v>345</v>
      </c>
      <c r="AC273" s="35" t="s">
        <v>404</v>
      </c>
      <c r="AD273" s="35" t="s">
        <v>346</v>
      </c>
      <c r="AE273" s="35" t="s">
        <v>405</v>
      </c>
      <c r="AF273" s="35" t="s">
        <v>406</v>
      </c>
      <c r="AG273" s="35" t="s">
        <v>578</v>
      </c>
      <c r="AH273" s="35" t="s">
        <v>190</v>
      </c>
      <c r="AI273" s="35" t="s">
        <v>249</v>
      </c>
      <c r="AJ273" s="35" t="s">
        <v>191</v>
      </c>
      <c r="AK273" s="104"/>
      <c r="AL273" s="35"/>
      <c r="AM273" s="35"/>
      <c r="AN273" s="36"/>
      <c r="AO273" s="36"/>
      <c r="AP273" s="36"/>
      <c r="AQ273" s="36"/>
      <c r="AR273" s="36"/>
      <c r="AS273" s="36"/>
      <c r="AT273" s="36"/>
      <c r="AU273" s="36"/>
      <c r="AV273" s="36"/>
      <c r="AW273" s="36"/>
      <c r="AX273" s="36"/>
      <c r="AY273" s="36"/>
      <c r="AZ273" s="36"/>
      <c r="BA273" s="36"/>
      <c r="BB273" s="36"/>
      <c r="BC273" s="36"/>
      <c r="BD273" s="36"/>
      <c r="BE273" s="36"/>
    </row>
    <row r="274" spans="2:57" s="30" customFormat="1" ht="30" x14ac:dyDescent="0.2">
      <c r="B274" s="166" t="s">
        <v>501</v>
      </c>
      <c r="C274" s="152"/>
      <c r="D274" s="86" t="s">
        <v>52</v>
      </c>
      <c r="E274" s="57"/>
      <c r="F274" s="55"/>
      <c r="G274" s="157"/>
      <c r="H274" s="81" t="str">
        <f>IF(D274="t","","t/m3")</f>
        <v/>
      </c>
      <c r="J274" s="169" t="s">
        <v>395</v>
      </c>
      <c r="K274" s="92" t="str">
        <f>IFERROR(IF(ISNUMBER(L274),L274,(VLOOKUP(C275,Kalusto!$C$45:$G$84,5,FALSE)*VLOOKUP(C276,Muut!$D$40:$E$43,2,FALSE))),"--")</f>
        <v>--</v>
      </c>
      <c r="L274" s="39"/>
      <c r="M274" s="40" t="s">
        <v>184</v>
      </c>
      <c r="N274" s="40"/>
      <c r="O274" s="259"/>
      <c r="Q274" s="45"/>
      <c r="R274" s="48" t="str">
        <f>IF(AND(NOT(ISNUMBER(AB274)),NOT(ISNUMBER(AG274))),"",IF(ISNUMBER(AB274),AB274,0)+IF(ISNUMBER(AG274),AG274,0))</f>
        <v/>
      </c>
      <c r="S274" s="98" t="s">
        <v>160</v>
      </c>
      <c r="T274" s="46" t="str">
        <f>IFERROR(IF(ISNUMBER(L274),"Kohdetieto",VLOOKUP(C275,Kalusto!$C$45:$L$84,7,FALSE)),"--")</f>
        <v>--</v>
      </c>
      <c r="U274" s="46" t="str">
        <f>IFERROR(IF(ISNUMBER(L274),"Kohdetieto",VLOOKUP(C275,Kalusto!$C$45:$L$84,8,FALSE)),"--")</f>
        <v>--</v>
      </c>
      <c r="V274" s="47" t="str">
        <f>IFERROR(IF(ISNUMBER(L274),"Kohdetieto",VLOOKUP(C275,Kalusto!$C$45:$L$84,9,FALSE)),"--")</f>
        <v>--</v>
      </c>
      <c r="W274" s="47" t="str">
        <f>IFERROR(IF(ISNUMBER(L274),"Kohdetieto",VLOOKUP(C275,Kalusto!$C$45:$L$84,10,FALSE)),"--")</f>
        <v>--</v>
      </c>
      <c r="X274" s="48" t="str">
        <f>IF(ISBLANK(C274),"",IF(D274="t",C274,C274*G274))</f>
        <v/>
      </c>
      <c r="Y274" s="46" t="str">
        <f>IF(ISNUMBER(C277),C277,"")</f>
        <v/>
      </c>
      <c r="Z274" s="48" t="str">
        <f>IF(ISNUMBER(X274/(U274*V274)*Y274),X274/(U274*V274)*Y274,"")</f>
        <v/>
      </c>
      <c r="AA274" s="49" t="str">
        <f>IF(ISNUMBER(L274),L274,K274)</f>
        <v>--</v>
      </c>
      <c r="AB274" s="48" t="str">
        <f>IF(ISNUMBER(Y274*X274*K274),Y274*X274*K274,"")</f>
        <v/>
      </c>
      <c r="AC274" s="48" t="str">
        <f>IF(ISNUMBER(Y274),Y274,"")</f>
        <v/>
      </c>
      <c r="AD274" s="48" t="str">
        <f>IF(ISNUMBER(X274),IF(ISNUMBER(X274/(U274*V274)),CEILING(X274/(U274*V274),1),""),"")</f>
        <v/>
      </c>
      <c r="AE274" s="48" t="str">
        <f>IF(ISNUMBER(AD274*AC274),AD274*AC274,"")</f>
        <v/>
      </c>
      <c r="AF274" s="49" t="str">
        <f>IF(ISNUMBER(L275),L275,K275)</f>
        <v>--</v>
      </c>
      <c r="AG274" s="48" t="str">
        <f>IF(ISNUMBER(AC274*AD274*K275),AC274*AD274*K275,"")</f>
        <v/>
      </c>
      <c r="AH274" s="46">
        <f>IF(T274="Jakelukuorma-auto",0,IF(T274="Maansiirtoauto",4,IF(T274="Puoliperävaunu",6,8)))</f>
        <v>8</v>
      </c>
      <c r="AI274" s="46">
        <f>IF(AND(T274="Jakelukuorma-auto",U274=6),0,IF(AND(T274="Jakelukuorma-auto",U274=15),2,0))</f>
        <v>0</v>
      </c>
      <c r="AJ274" s="46">
        <f>IF(W274="maantieajo",0,1)</f>
        <v>1</v>
      </c>
      <c r="AK274" s="104"/>
      <c r="AL274" s="35"/>
      <c r="AM274" s="35"/>
      <c r="AN274" s="36"/>
      <c r="AO274" s="36"/>
      <c r="AP274" s="36"/>
      <c r="AQ274" s="36"/>
      <c r="AR274" s="36"/>
      <c r="AS274" s="36"/>
      <c r="AT274" s="36"/>
      <c r="AU274" s="36"/>
      <c r="AV274" s="36"/>
      <c r="AW274" s="36"/>
      <c r="AX274" s="36"/>
      <c r="AY274" s="36"/>
      <c r="AZ274" s="36"/>
      <c r="BA274" s="36"/>
      <c r="BB274" s="36"/>
      <c r="BC274" s="36"/>
      <c r="BD274" s="36"/>
      <c r="BE274" s="36"/>
    </row>
    <row r="275" spans="2:57" s="30" customFormat="1" ht="30" x14ac:dyDescent="0.2">
      <c r="B275" s="166" t="s">
        <v>499</v>
      </c>
      <c r="C275" s="471" t="s">
        <v>298</v>
      </c>
      <c r="D275" s="472"/>
      <c r="E275" s="472"/>
      <c r="F275" s="472"/>
      <c r="G275" s="473"/>
      <c r="H275" s="30" t="s">
        <v>187</v>
      </c>
      <c r="J275" s="32" t="s">
        <v>396</v>
      </c>
      <c r="K275" s="92" t="str">
        <f>IFERROR(IF(ISNUMBER(L275),L275,(VLOOKUP(C275,Kalusto!$C$45:$V$84,19,FALSE)*(VLOOKUP(C276,Muut!$D$40:$E$43,2,FALSE)))),"--")</f>
        <v>--</v>
      </c>
      <c r="L275" s="39"/>
      <c r="M275" s="40" t="s">
        <v>188</v>
      </c>
      <c r="N275" s="40"/>
      <c r="O275" s="259"/>
      <c r="P275" s="33"/>
      <c r="Q275" s="50"/>
      <c r="R275" s="35"/>
      <c r="S275" s="35"/>
      <c r="T275" s="35"/>
      <c r="U275" s="35"/>
      <c r="V275" s="35"/>
      <c r="W275" s="35"/>
      <c r="X275" s="35"/>
      <c r="Y275" s="35"/>
      <c r="Z275" s="35"/>
      <c r="AA275" s="35"/>
      <c r="AB275" s="35"/>
      <c r="AC275" s="35"/>
      <c r="AD275" s="35"/>
      <c r="AE275" s="35"/>
      <c r="AF275" s="35"/>
      <c r="AG275" s="35"/>
      <c r="AH275" s="35"/>
      <c r="AI275" s="35"/>
      <c r="AJ275" s="35"/>
      <c r="AK275" s="104"/>
      <c r="AL275" s="35"/>
      <c r="AM275" s="35"/>
      <c r="AN275" s="36"/>
      <c r="AO275" s="36"/>
      <c r="AP275" s="36"/>
      <c r="AQ275" s="36"/>
      <c r="AR275" s="36"/>
      <c r="AS275" s="36"/>
      <c r="AT275" s="36"/>
      <c r="AU275" s="36"/>
      <c r="AV275" s="36"/>
      <c r="AW275" s="36"/>
      <c r="AX275" s="36"/>
      <c r="AY275" s="36"/>
      <c r="AZ275" s="36"/>
      <c r="BA275" s="36"/>
      <c r="BB275" s="36"/>
      <c r="BC275" s="36"/>
      <c r="BD275" s="36"/>
      <c r="BE275" s="36"/>
    </row>
    <row r="276" spans="2:57" s="30" customFormat="1" ht="15" x14ac:dyDescent="0.2">
      <c r="B276" s="182" t="s">
        <v>457</v>
      </c>
      <c r="C276" s="156" t="s">
        <v>223</v>
      </c>
      <c r="D276" s="33"/>
      <c r="E276" s="33"/>
      <c r="F276" s="33"/>
      <c r="G276" s="33"/>
      <c r="H276" s="57"/>
      <c r="J276" s="169"/>
      <c r="K276" s="169"/>
      <c r="L276" s="169"/>
      <c r="M276" s="40"/>
      <c r="N276" s="40"/>
      <c r="O276" s="259"/>
      <c r="Q276" s="45"/>
      <c r="R276" s="98"/>
      <c r="S276" s="98"/>
      <c r="T276" s="35"/>
      <c r="U276" s="35"/>
      <c r="V276" s="177"/>
      <c r="W276" s="177"/>
      <c r="X276" s="59"/>
      <c r="Y276" s="35"/>
      <c r="Z276" s="59"/>
      <c r="AA276" s="178"/>
      <c r="AB276" s="59"/>
      <c r="AC276" s="59"/>
      <c r="AD276" s="59"/>
      <c r="AE276" s="59"/>
      <c r="AF276" s="178"/>
      <c r="AG276" s="59"/>
      <c r="AH276" s="35"/>
      <c r="AI276" s="35"/>
      <c r="AJ276" s="35"/>
      <c r="AK276" s="104"/>
      <c r="AL276" s="35"/>
      <c r="AM276" s="35"/>
      <c r="AN276" s="36"/>
      <c r="AO276" s="36"/>
      <c r="AP276" s="36"/>
      <c r="AQ276" s="36"/>
      <c r="AR276" s="36"/>
      <c r="AS276" s="36"/>
      <c r="AT276" s="36"/>
      <c r="AU276" s="36"/>
      <c r="AV276" s="36"/>
      <c r="AW276" s="36"/>
      <c r="AX276" s="36"/>
      <c r="AY276" s="36"/>
      <c r="AZ276" s="36"/>
      <c r="BA276" s="36"/>
      <c r="BB276" s="36"/>
      <c r="BC276" s="36"/>
      <c r="BD276" s="36"/>
      <c r="BE276" s="36"/>
    </row>
    <row r="277" spans="2:57" s="30" customFormat="1" ht="15" x14ac:dyDescent="0.2">
      <c r="B277" s="44" t="s">
        <v>498</v>
      </c>
      <c r="C277" s="152"/>
      <c r="D277" s="81" t="s">
        <v>5</v>
      </c>
      <c r="G277" s="33"/>
      <c r="H277" s="52"/>
      <c r="I277" s="51"/>
      <c r="J277" s="51"/>
      <c r="K277" s="33"/>
      <c r="L277" s="33"/>
      <c r="M277" s="81"/>
      <c r="N277" s="81"/>
      <c r="O277" s="96"/>
      <c r="P277" s="51"/>
      <c r="Q277" s="50"/>
      <c r="R277" s="35"/>
      <c r="S277" s="35"/>
      <c r="T277" s="35"/>
      <c r="U277" s="35"/>
      <c r="V277" s="35"/>
      <c r="W277" s="35"/>
      <c r="X277" s="35"/>
      <c r="Y277" s="35"/>
      <c r="Z277" s="35"/>
      <c r="AA277" s="35"/>
      <c r="AB277" s="35"/>
      <c r="AC277" s="35"/>
      <c r="AD277" s="35"/>
      <c r="AE277" s="35"/>
      <c r="AF277" s="35"/>
      <c r="AG277" s="35"/>
      <c r="AH277" s="35"/>
      <c r="AI277" s="35"/>
      <c r="AJ277" s="35"/>
      <c r="AK277" s="104"/>
      <c r="AL277" s="35"/>
      <c r="AM277" s="35"/>
      <c r="AN277" s="36"/>
      <c r="AO277" s="36"/>
      <c r="AP277" s="36"/>
      <c r="AQ277" s="36"/>
      <c r="AR277" s="36"/>
      <c r="AS277" s="36"/>
      <c r="AT277" s="36"/>
      <c r="AU277" s="36"/>
      <c r="AV277" s="36"/>
      <c r="AW277" s="36"/>
      <c r="AX277" s="36"/>
      <c r="AY277" s="36"/>
      <c r="AZ277" s="36"/>
      <c r="BA277" s="36"/>
      <c r="BB277" s="36"/>
      <c r="BC277" s="36"/>
      <c r="BD277" s="36"/>
      <c r="BE277" s="36"/>
    </row>
    <row r="278" spans="2:57" s="30" customFormat="1" ht="15" x14ac:dyDescent="0.2">
      <c r="B278" s="151" t="s">
        <v>2</v>
      </c>
      <c r="C278" s="33"/>
      <c r="D278" s="81"/>
      <c r="E278" s="33"/>
      <c r="F278" s="33"/>
      <c r="G278" s="37"/>
      <c r="H278" s="81"/>
      <c r="J278" s="32"/>
      <c r="K278" s="37" t="s">
        <v>297</v>
      </c>
      <c r="L278" s="37" t="s">
        <v>185</v>
      </c>
      <c r="M278" s="81"/>
      <c r="N278" s="81"/>
      <c r="O278" s="96"/>
      <c r="P278" s="33"/>
      <c r="Q278" s="34"/>
      <c r="R278" s="35" t="s">
        <v>318</v>
      </c>
      <c r="S278" s="35"/>
      <c r="T278" s="35" t="s">
        <v>400</v>
      </c>
      <c r="U278" s="35" t="s">
        <v>399</v>
      </c>
      <c r="V278" s="35" t="s">
        <v>397</v>
      </c>
      <c r="W278" s="35" t="s">
        <v>398</v>
      </c>
      <c r="X278" s="35" t="s">
        <v>401</v>
      </c>
      <c r="Y278" s="35" t="s">
        <v>403</v>
      </c>
      <c r="Z278" s="35" t="s">
        <v>402</v>
      </c>
      <c r="AA278" s="35" t="s">
        <v>186</v>
      </c>
      <c r="AB278" s="35" t="s">
        <v>345</v>
      </c>
      <c r="AC278" s="35" t="s">
        <v>404</v>
      </c>
      <c r="AD278" s="35" t="s">
        <v>346</v>
      </c>
      <c r="AE278" s="35" t="s">
        <v>405</v>
      </c>
      <c r="AF278" s="35" t="s">
        <v>406</v>
      </c>
      <c r="AG278" s="35" t="s">
        <v>578</v>
      </c>
      <c r="AH278" s="35" t="s">
        <v>190</v>
      </c>
      <c r="AI278" s="35" t="s">
        <v>249</v>
      </c>
      <c r="AJ278" s="35" t="s">
        <v>191</v>
      </c>
      <c r="AK278" s="104"/>
      <c r="AL278" s="35"/>
      <c r="AM278" s="35"/>
      <c r="AN278" s="36"/>
      <c r="AO278" s="36"/>
      <c r="AP278" s="36"/>
      <c r="AQ278" s="36"/>
      <c r="AR278" s="36"/>
      <c r="AS278" s="36"/>
      <c r="AT278" s="36"/>
      <c r="AU278" s="36"/>
      <c r="AV278" s="36"/>
      <c r="AW278" s="36"/>
      <c r="AX278" s="36"/>
      <c r="AY278" s="36"/>
      <c r="AZ278" s="36"/>
      <c r="BA278" s="36"/>
      <c r="BB278" s="36"/>
      <c r="BC278" s="36"/>
      <c r="BD278" s="36"/>
      <c r="BE278" s="36"/>
    </row>
    <row r="279" spans="2:57" s="30" customFormat="1" ht="30" x14ac:dyDescent="0.2">
      <c r="B279" s="166" t="s">
        <v>501</v>
      </c>
      <c r="C279" s="152"/>
      <c r="D279" s="86" t="s">
        <v>52</v>
      </c>
      <c r="E279" s="57"/>
      <c r="F279" s="55"/>
      <c r="G279" s="157"/>
      <c r="H279" s="81" t="str">
        <f>IF(D279="t","","t/m3")</f>
        <v/>
      </c>
      <c r="J279" s="169" t="s">
        <v>395</v>
      </c>
      <c r="K279" s="92" t="str">
        <f>IFERROR(IF(ISNUMBER(L279),L279,(VLOOKUP(C280,Kalusto!$C$45:$G$84,5,FALSE)*VLOOKUP(C281,Muut!$D$40:$E$43,2,FALSE))),"--")</f>
        <v>--</v>
      </c>
      <c r="L279" s="39"/>
      <c r="M279" s="40" t="s">
        <v>184</v>
      </c>
      <c r="N279" s="40"/>
      <c r="O279" s="259"/>
      <c r="Q279" s="45"/>
      <c r="R279" s="48" t="str">
        <f>IF(AND(NOT(ISNUMBER(AB279)),NOT(ISNUMBER(AG279))),"",IF(ISNUMBER(AB279),AB279,0)+IF(ISNUMBER(AG279),AG279,0))</f>
        <v/>
      </c>
      <c r="S279" s="98" t="s">
        <v>160</v>
      </c>
      <c r="T279" s="46" t="str">
        <f>IFERROR(IF(ISNUMBER(L279),"Kohdetieto",VLOOKUP(C280,Kalusto!$C$45:$L$84,7,FALSE)),"--")</f>
        <v>--</v>
      </c>
      <c r="U279" s="46" t="str">
        <f>IFERROR(IF(ISNUMBER(L279),"Kohdetieto",VLOOKUP(C280,Kalusto!$C$45:$L$84,8,FALSE)),"--")</f>
        <v>--</v>
      </c>
      <c r="V279" s="47" t="str">
        <f>IFERROR(IF(ISNUMBER(L279),"Kohdetieto",VLOOKUP(C280,Kalusto!$C$45:$L$84,9,FALSE)),"--")</f>
        <v>--</v>
      </c>
      <c r="W279" s="47" t="str">
        <f>IFERROR(IF(ISNUMBER(L279),"Kohdetieto",VLOOKUP(C280,Kalusto!$C$45:$L$84,10,FALSE)),"--")</f>
        <v>--</v>
      </c>
      <c r="X279" s="48" t="str">
        <f>IF(ISBLANK(C279),"",IF(D279="t",C279,C279*G279))</f>
        <v/>
      </c>
      <c r="Y279" s="46" t="str">
        <f>IF(ISNUMBER(C282),C282,"")</f>
        <v/>
      </c>
      <c r="Z279" s="48" t="str">
        <f>IF(ISNUMBER(X279/(U279*V279)*Y279),X279/(U279*V279)*Y279,"")</f>
        <v/>
      </c>
      <c r="AA279" s="49" t="str">
        <f>IF(ISNUMBER(L279),L279,K279)</f>
        <v>--</v>
      </c>
      <c r="AB279" s="48" t="str">
        <f>IF(ISNUMBER(Y279*X279*K279),Y279*X279*K279,"")</f>
        <v/>
      </c>
      <c r="AC279" s="48" t="str">
        <f>IF(ISNUMBER(Y279),Y279,"")</f>
        <v/>
      </c>
      <c r="AD279" s="48" t="str">
        <f>IF(ISNUMBER(X279),IF(ISNUMBER(X279/(U279*V279)),CEILING(X279/(U279*V279),1),""),"")</f>
        <v/>
      </c>
      <c r="AE279" s="48" t="str">
        <f>IF(ISNUMBER(AD279*AC279),AD279*AC279,"")</f>
        <v/>
      </c>
      <c r="AF279" s="49" t="str">
        <f>IF(ISNUMBER(L280),L280,K280)</f>
        <v>--</v>
      </c>
      <c r="AG279" s="48" t="str">
        <f>IF(ISNUMBER(AC279*AD279*K280),AC279*AD279*K280,"")</f>
        <v/>
      </c>
      <c r="AH279" s="46">
        <f>IF(T279="Jakelukuorma-auto",0,IF(T279="Maansiirtoauto",4,IF(T279="Puoliperävaunu",6,8)))</f>
        <v>8</v>
      </c>
      <c r="AI279" s="46">
        <f>IF(AND(T279="Jakelukuorma-auto",U279=6),0,IF(AND(T279="Jakelukuorma-auto",U279=15),2,0))</f>
        <v>0</v>
      </c>
      <c r="AJ279" s="46">
        <f>IF(W279="maantieajo",0,1)</f>
        <v>1</v>
      </c>
      <c r="AK279" s="104"/>
      <c r="AL279" s="35"/>
      <c r="AM279" s="35"/>
      <c r="AN279" s="36"/>
      <c r="AO279" s="36"/>
      <c r="AP279" s="36"/>
      <c r="AQ279" s="36"/>
      <c r="AR279" s="36"/>
      <c r="AS279" s="36"/>
      <c r="AT279" s="36"/>
      <c r="AU279" s="36"/>
      <c r="AV279" s="36"/>
      <c r="AW279" s="36"/>
      <c r="AX279" s="36"/>
      <c r="AY279" s="36"/>
      <c r="AZ279" s="36"/>
      <c r="BA279" s="36"/>
      <c r="BB279" s="36"/>
      <c r="BC279" s="36"/>
      <c r="BD279" s="36"/>
      <c r="BE279" s="36"/>
    </row>
    <row r="280" spans="2:57" s="30" customFormat="1" ht="30" x14ac:dyDescent="0.2">
      <c r="B280" s="166" t="s">
        <v>499</v>
      </c>
      <c r="C280" s="471" t="s">
        <v>298</v>
      </c>
      <c r="D280" s="472"/>
      <c r="E280" s="472"/>
      <c r="F280" s="472"/>
      <c r="G280" s="473"/>
      <c r="J280" s="32" t="s">
        <v>396</v>
      </c>
      <c r="K280" s="92" t="str">
        <f>IFERROR(IF(ISNUMBER(L280),L280,(VLOOKUP(C280,Kalusto!$C$45:$V$84,19,FALSE)*(VLOOKUP(C281,Muut!$D$40:$E$43,2,FALSE)))),"--")</f>
        <v>--</v>
      </c>
      <c r="L280" s="39"/>
      <c r="M280" s="40" t="s">
        <v>188</v>
      </c>
      <c r="N280" s="40"/>
      <c r="O280" s="259"/>
      <c r="P280" s="33"/>
      <c r="Q280" s="50"/>
      <c r="R280" s="35"/>
      <c r="S280" s="35"/>
      <c r="T280" s="35"/>
      <c r="U280" s="35"/>
      <c r="V280" s="35"/>
      <c r="W280" s="35"/>
      <c r="X280" s="35"/>
      <c r="Y280" s="35"/>
      <c r="Z280" s="35"/>
      <c r="AA280" s="35"/>
      <c r="AB280" s="35"/>
      <c r="AC280" s="35"/>
      <c r="AD280" s="35"/>
      <c r="AE280" s="35"/>
      <c r="AF280" s="35"/>
      <c r="AG280" s="35"/>
      <c r="AH280" s="35"/>
      <c r="AI280" s="35"/>
      <c r="AJ280" s="35"/>
      <c r="AK280" s="104"/>
      <c r="AL280" s="35"/>
      <c r="AM280" s="35"/>
      <c r="AN280" s="36"/>
      <c r="AO280" s="36"/>
      <c r="AP280" s="36"/>
      <c r="AQ280" s="36"/>
      <c r="AR280" s="36"/>
      <c r="AS280" s="36"/>
      <c r="AT280" s="36"/>
      <c r="AU280" s="36"/>
      <c r="AV280" s="36"/>
      <c r="AW280" s="36"/>
      <c r="AX280" s="36"/>
      <c r="AY280" s="36"/>
      <c r="AZ280" s="36"/>
      <c r="BA280" s="36"/>
      <c r="BB280" s="36"/>
      <c r="BC280" s="36"/>
      <c r="BD280" s="36"/>
      <c r="BE280" s="36"/>
    </row>
    <row r="281" spans="2:57" s="30" customFormat="1" ht="15" x14ac:dyDescent="0.2">
      <c r="B281" s="182" t="s">
        <v>457</v>
      </c>
      <c r="C281" s="156" t="s">
        <v>223</v>
      </c>
      <c r="D281" s="33"/>
      <c r="E281" s="33"/>
      <c r="F281" s="33"/>
      <c r="G281" s="33"/>
      <c r="H281" s="57"/>
      <c r="J281" s="169"/>
      <c r="K281" s="169"/>
      <c r="L281" s="169"/>
      <c r="M281" s="40"/>
      <c r="N281" s="40"/>
      <c r="O281" s="259"/>
      <c r="Q281" s="45"/>
      <c r="R281" s="98"/>
      <c r="S281" s="98"/>
      <c r="T281" s="35"/>
      <c r="U281" s="35"/>
      <c r="V281" s="177"/>
      <c r="W281" s="177"/>
      <c r="X281" s="59"/>
      <c r="Y281" s="35"/>
      <c r="Z281" s="59"/>
      <c r="AA281" s="178"/>
      <c r="AB281" s="59"/>
      <c r="AC281" s="59"/>
      <c r="AD281" s="59"/>
      <c r="AE281" s="59"/>
      <c r="AF281" s="178"/>
      <c r="AG281" s="59"/>
      <c r="AH281" s="35"/>
      <c r="AI281" s="35"/>
      <c r="AJ281" s="35"/>
      <c r="AK281" s="104"/>
      <c r="AL281" s="35"/>
      <c r="AM281" s="35"/>
      <c r="AN281" s="36"/>
      <c r="AO281" s="36"/>
      <c r="AP281" s="36"/>
      <c r="AQ281" s="36"/>
      <c r="AR281" s="36"/>
      <c r="AS281" s="36"/>
      <c r="AT281" s="36"/>
      <c r="AU281" s="36"/>
      <c r="AV281" s="36"/>
      <c r="AW281" s="36"/>
      <c r="AX281" s="36"/>
      <c r="AY281" s="36"/>
      <c r="AZ281" s="36"/>
      <c r="BA281" s="36"/>
      <c r="BB281" s="36"/>
      <c r="BC281" s="36"/>
      <c r="BD281" s="36"/>
      <c r="BE281" s="36"/>
    </row>
    <row r="282" spans="2:57" s="30" customFormat="1" ht="15" x14ac:dyDescent="0.2">
      <c r="B282" s="44" t="s">
        <v>498</v>
      </c>
      <c r="C282" s="152"/>
      <c r="D282" s="81" t="s">
        <v>5</v>
      </c>
      <c r="G282" s="33"/>
      <c r="H282" s="81"/>
      <c r="I282" s="51"/>
      <c r="J282" s="51"/>
      <c r="K282" s="33"/>
      <c r="L282" s="33"/>
      <c r="M282" s="81"/>
      <c r="N282" s="81"/>
      <c r="O282" s="96"/>
      <c r="P282" s="51"/>
      <c r="Q282" s="50"/>
      <c r="R282" s="35"/>
      <c r="S282" s="35"/>
      <c r="T282" s="35"/>
      <c r="U282" s="35"/>
      <c r="V282" s="35"/>
      <c r="W282" s="35"/>
      <c r="X282" s="35"/>
      <c r="Y282" s="35"/>
      <c r="Z282" s="35"/>
      <c r="AA282" s="35"/>
      <c r="AB282" s="35"/>
      <c r="AC282" s="35"/>
      <c r="AD282" s="35"/>
      <c r="AE282" s="35"/>
      <c r="AF282" s="35"/>
      <c r="AG282" s="35"/>
      <c r="AH282" s="35"/>
      <c r="AI282" s="35"/>
      <c r="AJ282" s="35"/>
      <c r="AK282" s="104"/>
      <c r="AL282" s="35"/>
      <c r="AM282" s="35"/>
      <c r="AN282" s="36"/>
      <c r="AO282" s="36"/>
      <c r="AP282" s="36"/>
      <c r="AQ282" s="36"/>
      <c r="AR282" s="36"/>
      <c r="AS282" s="36"/>
      <c r="AT282" s="36"/>
      <c r="AU282" s="36"/>
      <c r="AV282" s="36"/>
      <c r="AW282" s="36"/>
      <c r="AX282" s="36"/>
      <c r="AY282" s="36"/>
      <c r="AZ282" s="36"/>
      <c r="BA282" s="36"/>
      <c r="BB282" s="36"/>
      <c r="BC282" s="36"/>
      <c r="BD282" s="36"/>
      <c r="BE282" s="36"/>
    </row>
    <row r="283" spans="2:57" s="30" customFormat="1" ht="15" x14ac:dyDescent="0.2">
      <c r="B283" s="151" t="s">
        <v>3</v>
      </c>
      <c r="C283" s="33"/>
      <c r="D283" s="81"/>
      <c r="E283" s="33"/>
      <c r="F283" s="33"/>
      <c r="G283" s="37"/>
      <c r="H283" s="81"/>
      <c r="J283" s="32"/>
      <c r="K283" s="37" t="s">
        <v>297</v>
      </c>
      <c r="L283" s="37" t="s">
        <v>185</v>
      </c>
      <c r="M283" s="81"/>
      <c r="N283" s="81"/>
      <c r="O283" s="96"/>
      <c r="P283" s="33"/>
      <c r="Q283" s="34"/>
      <c r="R283" s="35" t="s">
        <v>318</v>
      </c>
      <c r="S283" s="35"/>
      <c r="T283" s="35" t="s">
        <v>400</v>
      </c>
      <c r="U283" s="35" t="s">
        <v>399</v>
      </c>
      <c r="V283" s="35" t="s">
        <v>397</v>
      </c>
      <c r="W283" s="35" t="s">
        <v>398</v>
      </c>
      <c r="X283" s="35" t="s">
        <v>401</v>
      </c>
      <c r="Y283" s="35" t="s">
        <v>403</v>
      </c>
      <c r="Z283" s="35" t="s">
        <v>402</v>
      </c>
      <c r="AA283" s="35" t="s">
        <v>186</v>
      </c>
      <c r="AB283" s="35" t="s">
        <v>345</v>
      </c>
      <c r="AC283" s="35" t="s">
        <v>404</v>
      </c>
      <c r="AD283" s="35" t="s">
        <v>346</v>
      </c>
      <c r="AE283" s="35" t="s">
        <v>405</v>
      </c>
      <c r="AF283" s="35" t="s">
        <v>406</v>
      </c>
      <c r="AG283" s="35" t="s">
        <v>578</v>
      </c>
      <c r="AH283" s="35" t="s">
        <v>190</v>
      </c>
      <c r="AI283" s="35" t="s">
        <v>249</v>
      </c>
      <c r="AJ283" s="35" t="s">
        <v>191</v>
      </c>
      <c r="AK283" s="104"/>
      <c r="AL283" s="35"/>
      <c r="AM283" s="35"/>
      <c r="AN283" s="36"/>
      <c r="AO283" s="36"/>
      <c r="AP283" s="36"/>
      <c r="AQ283" s="36"/>
      <c r="AR283" s="36"/>
      <c r="AS283" s="36"/>
      <c r="AT283" s="36"/>
      <c r="AU283" s="36"/>
      <c r="AV283" s="36"/>
      <c r="AW283" s="36"/>
      <c r="AX283" s="36"/>
      <c r="AY283" s="36"/>
      <c r="AZ283" s="36"/>
      <c r="BA283" s="36"/>
      <c r="BB283" s="36"/>
      <c r="BC283" s="36"/>
      <c r="BD283" s="36"/>
      <c r="BE283" s="36"/>
    </row>
    <row r="284" spans="2:57" s="30" customFormat="1" ht="30" x14ac:dyDescent="0.2">
      <c r="B284" s="166" t="s">
        <v>501</v>
      </c>
      <c r="C284" s="152"/>
      <c r="D284" s="86" t="s">
        <v>52</v>
      </c>
      <c r="E284" s="57"/>
      <c r="F284" s="55"/>
      <c r="G284" s="157"/>
      <c r="H284" s="81" t="str">
        <f>IF(D284="t","","t/m3")</f>
        <v/>
      </c>
      <c r="J284" s="169" t="s">
        <v>395</v>
      </c>
      <c r="K284" s="92" t="str">
        <f>IFERROR(IF(ISNUMBER(L284),L284,(VLOOKUP(C285,Kalusto!$C$45:$G$84,5,FALSE)*VLOOKUP(C286,Muut!$D$40:$E$43,2,FALSE))),"--")</f>
        <v>--</v>
      </c>
      <c r="L284" s="39"/>
      <c r="M284" s="40" t="s">
        <v>184</v>
      </c>
      <c r="N284" s="40"/>
      <c r="O284" s="259"/>
      <c r="Q284" s="45"/>
      <c r="R284" s="48" t="str">
        <f>IF(AND(NOT(ISNUMBER(AB284)),NOT(ISNUMBER(AG284))),"",IF(ISNUMBER(AB284),AB284,0)+IF(ISNUMBER(AG284),AG284,0))</f>
        <v/>
      </c>
      <c r="S284" s="98" t="s">
        <v>160</v>
      </c>
      <c r="T284" s="46" t="str">
        <f>IFERROR(IF(ISNUMBER(L284),"Kohdetieto",VLOOKUP(C285,Kalusto!$C$45:$L$84,7,FALSE)),"--")</f>
        <v>--</v>
      </c>
      <c r="U284" s="46" t="str">
        <f>IFERROR(IF(ISNUMBER(L284),"Kohdetieto",VLOOKUP(C285,Kalusto!$C$45:$L$84,8,FALSE)),"--")</f>
        <v>--</v>
      </c>
      <c r="V284" s="47" t="str">
        <f>IFERROR(IF(ISNUMBER(L284),"Kohdetieto",VLOOKUP(C285,Kalusto!$C$45:$L$84,9,FALSE)),"--")</f>
        <v>--</v>
      </c>
      <c r="W284" s="47" t="str">
        <f>IFERROR(IF(ISNUMBER(L284),"Kohdetieto",VLOOKUP(C285,Kalusto!$C$45:$L$84,10,FALSE)),"--")</f>
        <v>--</v>
      </c>
      <c r="X284" s="48" t="str">
        <f>IF(ISBLANK(C284),"",IF(D284="t",C284,C284*G284))</f>
        <v/>
      </c>
      <c r="Y284" s="46" t="str">
        <f>IF(ISNUMBER(C287),C287,"")</f>
        <v/>
      </c>
      <c r="Z284" s="48" t="str">
        <f>IF(ISNUMBER(X284/(U284*V284)*Y284),X284/(U284*V284)*Y284,"")</f>
        <v/>
      </c>
      <c r="AA284" s="49" t="str">
        <f>IF(ISNUMBER(L284),L284,K284)</f>
        <v>--</v>
      </c>
      <c r="AB284" s="48" t="str">
        <f>IF(ISNUMBER(Y284*X284*K284),Y284*X284*K284,"")</f>
        <v/>
      </c>
      <c r="AC284" s="48" t="str">
        <f>IF(ISNUMBER(Y284),Y284,"")</f>
        <v/>
      </c>
      <c r="AD284" s="48" t="str">
        <f>IF(ISNUMBER(X284),IF(ISNUMBER(X284/(U284*V284)),CEILING(X284/(U284*V284),1),""),"")</f>
        <v/>
      </c>
      <c r="AE284" s="48" t="str">
        <f>IF(ISNUMBER(AD284*AC284),AD284*AC284,"")</f>
        <v/>
      </c>
      <c r="AF284" s="49" t="str">
        <f>IF(ISNUMBER(L285),L285,K285)</f>
        <v>--</v>
      </c>
      <c r="AG284" s="48" t="str">
        <f>IF(ISNUMBER(AC284*AD284*K285),AC284*AD284*K285,"")</f>
        <v/>
      </c>
      <c r="AH284" s="46">
        <f>IF(T284="Jakelukuorma-auto",0,IF(T284="Maansiirtoauto",4,IF(T284="Puoliperävaunu",6,8)))</f>
        <v>8</v>
      </c>
      <c r="AI284" s="46">
        <f>IF(AND(T284="Jakelukuorma-auto",U284=6),0,IF(AND(T284="Jakelukuorma-auto",U284=15),2,0))</f>
        <v>0</v>
      </c>
      <c r="AJ284" s="46">
        <f>IF(W284="maantieajo",0,1)</f>
        <v>1</v>
      </c>
      <c r="AK284" s="104"/>
      <c r="AL284" s="35"/>
      <c r="AM284" s="35"/>
      <c r="AN284" s="36"/>
      <c r="AO284" s="36"/>
      <c r="AP284" s="36"/>
      <c r="AQ284" s="36"/>
      <c r="AR284" s="36"/>
      <c r="AS284" s="36"/>
      <c r="AT284" s="36"/>
      <c r="AU284" s="36"/>
      <c r="AV284" s="36"/>
      <c r="AW284" s="36"/>
      <c r="AX284" s="36"/>
      <c r="AY284" s="36"/>
      <c r="AZ284" s="36"/>
      <c r="BA284" s="36"/>
      <c r="BB284" s="36"/>
      <c r="BC284" s="36"/>
      <c r="BD284" s="36"/>
      <c r="BE284" s="36"/>
    </row>
    <row r="285" spans="2:57" s="30" customFormat="1" ht="30" x14ac:dyDescent="0.2">
      <c r="B285" s="166" t="s">
        <v>499</v>
      </c>
      <c r="C285" s="471" t="s">
        <v>298</v>
      </c>
      <c r="D285" s="472"/>
      <c r="E285" s="472"/>
      <c r="F285" s="472"/>
      <c r="G285" s="473"/>
      <c r="J285" s="32" t="s">
        <v>396</v>
      </c>
      <c r="K285" s="92" t="str">
        <f>IFERROR(IF(ISNUMBER(L285),L285,(VLOOKUP(C285,Kalusto!$C$45:$V$84,19,FALSE)*(VLOOKUP(C286,Muut!$D$40:$E$43,2,FALSE)))),"--")</f>
        <v>--</v>
      </c>
      <c r="L285" s="39"/>
      <c r="M285" s="40" t="s">
        <v>188</v>
      </c>
      <c r="N285" s="40"/>
      <c r="O285" s="259"/>
      <c r="P285" s="33"/>
      <c r="Q285" s="50"/>
      <c r="R285" s="35"/>
      <c r="S285" s="35"/>
      <c r="T285" s="35"/>
      <c r="U285" s="35"/>
      <c r="V285" s="35"/>
      <c r="W285" s="35"/>
      <c r="X285" s="35"/>
      <c r="Y285" s="35"/>
      <c r="Z285" s="35"/>
      <c r="AA285" s="35"/>
      <c r="AB285" s="35"/>
      <c r="AC285" s="35"/>
      <c r="AD285" s="35"/>
      <c r="AE285" s="35"/>
      <c r="AF285" s="35"/>
      <c r="AG285" s="35"/>
      <c r="AH285" s="35"/>
      <c r="AI285" s="35"/>
      <c r="AJ285" s="35"/>
      <c r="AK285" s="104"/>
      <c r="AL285" s="35"/>
      <c r="AM285" s="35"/>
      <c r="AN285" s="36"/>
      <c r="AO285" s="36"/>
      <c r="AP285" s="36"/>
      <c r="AQ285" s="36"/>
      <c r="AR285" s="36"/>
      <c r="AS285" s="36"/>
      <c r="AT285" s="36"/>
      <c r="AU285" s="36"/>
      <c r="AV285" s="36"/>
      <c r="AW285" s="36"/>
      <c r="AX285" s="36"/>
      <c r="AY285" s="36"/>
      <c r="AZ285" s="36"/>
      <c r="BA285" s="36"/>
      <c r="BB285" s="36"/>
      <c r="BC285" s="36"/>
      <c r="BD285" s="36"/>
      <c r="BE285" s="36"/>
    </row>
    <row r="286" spans="2:57" s="30" customFormat="1" ht="15" x14ac:dyDescent="0.2">
      <c r="B286" s="182" t="s">
        <v>457</v>
      </c>
      <c r="C286" s="156" t="s">
        <v>223</v>
      </c>
      <c r="D286" s="33"/>
      <c r="E286" s="33"/>
      <c r="F286" s="33"/>
      <c r="G286" s="33"/>
      <c r="H286" s="57"/>
      <c r="J286" s="169"/>
      <c r="K286" s="169"/>
      <c r="L286" s="169"/>
      <c r="M286" s="40"/>
      <c r="N286" s="40"/>
      <c r="O286" s="259"/>
      <c r="Q286" s="45"/>
      <c r="R286" s="98"/>
      <c r="S286" s="98"/>
      <c r="T286" s="35"/>
      <c r="U286" s="35"/>
      <c r="V286" s="177"/>
      <c r="W286" s="177"/>
      <c r="X286" s="59"/>
      <c r="Y286" s="35"/>
      <c r="Z286" s="59"/>
      <c r="AA286" s="178"/>
      <c r="AB286" s="59"/>
      <c r="AC286" s="59"/>
      <c r="AD286" s="59"/>
      <c r="AE286" s="59"/>
      <c r="AF286" s="178"/>
      <c r="AG286" s="59"/>
      <c r="AH286" s="35"/>
      <c r="AI286" s="35"/>
      <c r="AJ286" s="35"/>
      <c r="AK286" s="104"/>
      <c r="AL286" s="35"/>
      <c r="AM286" s="35"/>
      <c r="AN286" s="36"/>
      <c r="AO286" s="36"/>
      <c r="AP286" s="36"/>
      <c r="AQ286" s="36"/>
      <c r="AR286" s="36"/>
      <c r="AS286" s="36"/>
      <c r="AT286" s="36"/>
      <c r="AU286" s="36"/>
      <c r="AV286" s="36"/>
      <c r="AW286" s="36"/>
      <c r="AX286" s="36"/>
      <c r="AY286" s="36"/>
      <c r="AZ286" s="36"/>
      <c r="BA286" s="36"/>
      <c r="BB286" s="36"/>
      <c r="BC286" s="36"/>
      <c r="BD286" s="36"/>
      <c r="BE286" s="36"/>
    </row>
    <row r="287" spans="2:57" s="30" customFormat="1" ht="15" x14ac:dyDescent="0.2">
      <c r="B287" s="44" t="s">
        <v>498</v>
      </c>
      <c r="C287" s="152"/>
      <c r="D287" s="81" t="s">
        <v>164</v>
      </c>
      <c r="G287" s="33"/>
      <c r="H287" s="81"/>
      <c r="I287" s="51"/>
      <c r="J287" s="51"/>
      <c r="K287" s="33"/>
      <c r="L287" s="33"/>
      <c r="M287" s="81"/>
      <c r="N287" s="81"/>
      <c r="O287" s="96"/>
      <c r="P287" s="51"/>
      <c r="Q287" s="50"/>
      <c r="R287" s="35"/>
      <c r="S287" s="35"/>
      <c r="T287" s="35"/>
      <c r="U287" s="35"/>
      <c r="V287" s="35"/>
      <c r="W287" s="35"/>
      <c r="X287" s="35"/>
      <c r="Y287" s="35"/>
      <c r="Z287" s="35"/>
      <c r="AA287" s="35"/>
      <c r="AB287" s="35"/>
      <c r="AC287" s="35"/>
      <c r="AD287" s="35"/>
      <c r="AE287" s="35"/>
      <c r="AF287" s="35"/>
      <c r="AG287" s="35"/>
      <c r="AH287" s="35"/>
      <c r="AI287" s="35"/>
      <c r="AJ287" s="35"/>
      <c r="AK287" s="104"/>
      <c r="AL287" s="35"/>
      <c r="AM287" s="35"/>
      <c r="AN287" s="36"/>
      <c r="AO287" s="36"/>
      <c r="AP287" s="36"/>
      <c r="AQ287" s="36"/>
      <c r="AR287" s="36"/>
      <c r="AS287" s="36"/>
      <c r="AT287" s="36"/>
      <c r="AU287" s="36"/>
      <c r="AV287" s="36"/>
      <c r="AW287" s="36"/>
      <c r="AX287" s="36"/>
      <c r="AY287" s="36"/>
      <c r="AZ287" s="36"/>
      <c r="BA287" s="36"/>
      <c r="BB287" s="36"/>
      <c r="BC287" s="36"/>
      <c r="BD287" s="36"/>
      <c r="BE287" s="36"/>
    </row>
    <row r="288" spans="2:57" s="30" customFormat="1" ht="15" x14ac:dyDescent="0.2">
      <c r="B288" s="151" t="s">
        <v>4</v>
      </c>
      <c r="C288" s="33"/>
      <c r="D288" s="81"/>
      <c r="G288" s="33"/>
      <c r="H288" s="81"/>
      <c r="J288" s="32"/>
      <c r="K288" s="37" t="s">
        <v>297</v>
      </c>
      <c r="L288" s="37" t="s">
        <v>185</v>
      </c>
      <c r="M288" s="81"/>
      <c r="N288" s="81"/>
      <c r="O288" s="96"/>
      <c r="P288" s="33"/>
      <c r="Q288" s="34"/>
      <c r="R288" s="35" t="s">
        <v>318</v>
      </c>
      <c r="S288" s="35"/>
      <c r="T288" s="35" t="s">
        <v>400</v>
      </c>
      <c r="U288" s="35" t="s">
        <v>399</v>
      </c>
      <c r="V288" s="35" t="s">
        <v>397</v>
      </c>
      <c r="W288" s="35" t="s">
        <v>398</v>
      </c>
      <c r="X288" s="35" t="s">
        <v>401</v>
      </c>
      <c r="Y288" s="35" t="s">
        <v>403</v>
      </c>
      <c r="Z288" s="35" t="s">
        <v>402</v>
      </c>
      <c r="AA288" s="35" t="s">
        <v>186</v>
      </c>
      <c r="AB288" s="35" t="s">
        <v>345</v>
      </c>
      <c r="AC288" s="35" t="s">
        <v>404</v>
      </c>
      <c r="AD288" s="35" t="s">
        <v>346</v>
      </c>
      <c r="AE288" s="35" t="s">
        <v>405</v>
      </c>
      <c r="AF288" s="35" t="s">
        <v>406</v>
      </c>
      <c r="AG288" s="35" t="s">
        <v>578</v>
      </c>
      <c r="AH288" s="35" t="s">
        <v>190</v>
      </c>
      <c r="AI288" s="35" t="s">
        <v>249</v>
      </c>
      <c r="AJ288" s="35" t="s">
        <v>191</v>
      </c>
      <c r="AK288" s="104"/>
      <c r="AL288" s="35"/>
      <c r="AM288" s="35"/>
      <c r="AN288" s="36"/>
      <c r="AO288" s="36"/>
      <c r="AP288" s="36"/>
      <c r="AQ288" s="36"/>
      <c r="AR288" s="36"/>
      <c r="AS288" s="36"/>
      <c r="AT288" s="36"/>
      <c r="AU288" s="36"/>
      <c r="AV288" s="36"/>
      <c r="AW288" s="36"/>
      <c r="AX288" s="36"/>
      <c r="AY288" s="36"/>
      <c r="AZ288" s="36"/>
      <c r="BA288" s="36"/>
      <c r="BB288" s="36"/>
      <c r="BC288" s="36"/>
      <c r="BD288" s="36"/>
      <c r="BE288" s="36"/>
    </row>
    <row r="289" spans="2:59" s="30" customFormat="1" ht="30" x14ac:dyDescent="0.2">
      <c r="B289" s="166" t="s">
        <v>501</v>
      </c>
      <c r="C289" s="385"/>
      <c r="D289" s="86" t="s">
        <v>52</v>
      </c>
      <c r="E289" s="57"/>
      <c r="F289" s="55"/>
      <c r="G289" s="157"/>
      <c r="H289" s="81" t="str">
        <f>IF(D289="t","","t/m3")</f>
        <v/>
      </c>
      <c r="J289" s="169" t="s">
        <v>395</v>
      </c>
      <c r="K289" s="92" t="str">
        <f>IFERROR(IF(ISNUMBER(L289),L289,(VLOOKUP(C290,Kalusto!$C$45:$G$84,5,FALSE)*VLOOKUP(C291,Muut!$D$40:$E$43,2,FALSE))),"--")</f>
        <v>--</v>
      </c>
      <c r="L289" s="39"/>
      <c r="M289" s="40" t="s">
        <v>184</v>
      </c>
      <c r="N289" s="40"/>
      <c r="O289" s="259"/>
      <c r="Q289" s="45"/>
      <c r="R289" s="48" t="str">
        <f>IF(AND(NOT(ISNUMBER(AB289)),NOT(ISNUMBER(AG289))),"",IF(ISNUMBER(AB289),AB289,0)+IF(ISNUMBER(AG289),AG289,0))</f>
        <v/>
      </c>
      <c r="S289" s="98" t="s">
        <v>160</v>
      </c>
      <c r="T289" s="46" t="str">
        <f>IFERROR(IF(ISNUMBER(L289),"Kohdetieto",VLOOKUP(C290,Kalusto!$C$45:$L$84,7,FALSE)),"--")</f>
        <v>--</v>
      </c>
      <c r="U289" s="46" t="str">
        <f>IFERROR(IF(ISNUMBER(L289),"Kohdetieto",VLOOKUP(C290,Kalusto!$C$45:$L$84,8,FALSE)),"--")</f>
        <v>--</v>
      </c>
      <c r="V289" s="47" t="str">
        <f>IFERROR(IF(ISNUMBER(L289),"Kohdetieto",VLOOKUP(C290,Kalusto!$C$45:$L$84,9,FALSE)),"--")</f>
        <v>--</v>
      </c>
      <c r="W289" s="47" t="str">
        <f>IFERROR(IF(ISNUMBER(L289),"Kohdetieto",VLOOKUP(C290,Kalusto!$C$45:$L$84,10,FALSE)),"--")</f>
        <v>--</v>
      </c>
      <c r="X289" s="48" t="str">
        <f>IF(ISBLANK(C289),"",IF(D289="t",C289,C289*G289))</f>
        <v/>
      </c>
      <c r="Y289" s="46" t="str">
        <f>IF(ISNUMBER(C292),C292,"")</f>
        <v/>
      </c>
      <c r="Z289" s="48" t="str">
        <f>IF(ISNUMBER(X289/(U289*V289)*Y289),X289/(U289*V289)*Y289,"")</f>
        <v/>
      </c>
      <c r="AA289" s="49" t="str">
        <f>IF(ISNUMBER(L289),L289,K289)</f>
        <v>--</v>
      </c>
      <c r="AB289" s="48" t="str">
        <f>IF(ISNUMBER(Y289*X289*K289),Y289*X289*K289,"")</f>
        <v/>
      </c>
      <c r="AC289" s="48" t="str">
        <f>IF(ISNUMBER(Y289),Y289,"")</f>
        <v/>
      </c>
      <c r="AD289" s="48" t="str">
        <f>IF(ISNUMBER(X289),IF(ISNUMBER(X289/(U289*V289)),CEILING(X289/(U289*V289),1),""),"")</f>
        <v/>
      </c>
      <c r="AE289" s="48" t="str">
        <f>IF(ISNUMBER(AD289*AC289),AD289*AC289,"")</f>
        <v/>
      </c>
      <c r="AF289" s="49" t="str">
        <f>IF(ISNUMBER(L290),L290,K290)</f>
        <v>--</v>
      </c>
      <c r="AG289" s="48" t="str">
        <f>IF(ISNUMBER(AC289*AD289*K290),AC289*AD289*K290,"")</f>
        <v/>
      </c>
      <c r="AH289" s="46">
        <f>IF(T289="Jakelukuorma-auto",0,IF(T289="Maansiirtoauto",4,IF(T289="Puoliperävaunu",6,8)))</f>
        <v>8</v>
      </c>
      <c r="AI289" s="46">
        <f>IF(AND(T289="Jakelukuorma-auto",U289=6),0,IF(AND(T289="Jakelukuorma-auto",U289=15),2,0))</f>
        <v>0</v>
      </c>
      <c r="AJ289" s="46">
        <f>IF(W289="maantieajo",0,1)</f>
        <v>1</v>
      </c>
      <c r="AK289" s="104"/>
      <c r="AL289" s="35"/>
      <c r="AM289" s="35"/>
      <c r="AN289" s="36"/>
      <c r="AO289" s="36"/>
      <c r="AP289" s="36"/>
      <c r="AQ289" s="36"/>
      <c r="AR289" s="36"/>
      <c r="AS289" s="36"/>
      <c r="AT289" s="36"/>
      <c r="AU289" s="36"/>
      <c r="AV289" s="36"/>
      <c r="AW289" s="36"/>
      <c r="AX289" s="36"/>
      <c r="AY289" s="36"/>
      <c r="AZ289" s="36"/>
      <c r="BA289" s="36"/>
      <c r="BB289" s="36"/>
      <c r="BC289" s="36"/>
      <c r="BD289" s="36"/>
      <c r="BE289" s="36"/>
    </row>
    <row r="290" spans="2:59" s="30" customFormat="1" ht="30" x14ac:dyDescent="0.2">
      <c r="B290" s="166" t="s">
        <v>499</v>
      </c>
      <c r="C290" s="471" t="s">
        <v>298</v>
      </c>
      <c r="D290" s="472"/>
      <c r="E290" s="472"/>
      <c r="F290" s="472"/>
      <c r="G290" s="473"/>
      <c r="I290" s="57"/>
      <c r="J290" s="32" t="s">
        <v>396</v>
      </c>
      <c r="K290" s="92" t="str">
        <f>IFERROR(IF(ISNUMBER(L290),L290,(VLOOKUP(C290,Kalusto!$C$45:$V$84,19,FALSE)*(VLOOKUP(C291,Muut!$D$40:$E$43,2,FALSE)))),"--")</f>
        <v>--</v>
      </c>
      <c r="L290" s="39"/>
      <c r="M290" s="40" t="s">
        <v>188</v>
      </c>
      <c r="N290" s="40"/>
      <c r="O290" s="259"/>
      <c r="P290" s="33"/>
      <c r="Q290" s="50"/>
      <c r="R290" s="95"/>
      <c r="S290" s="35"/>
      <c r="T290" s="35"/>
      <c r="U290" s="35"/>
      <c r="V290" s="35"/>
      <c r="W290" s="35"/>
      <c r="X290" s="35"/>
      <c r="Y290" s="35"/>
      <c r="Z290" s="35"/>
      <c r="AA290" s="35"/>
      <c r="AB290" s="35"/>
      <c r="AC290" s="35"/>
      <c r="AD290" s="35"/>
      <c r="AE290" s="35"/>
      <c r="AF290" s="35"/>
      <c r="AG290" s="35"/>
      <c r="AH290" s="35"/>
      <c r="AI290" s="35"/>
      <c r="AJ290" s="35"/>
      <c r="AK290" s="35"/>
      <c r="AL290" s="35"/>
      <c r="AM290" s="35"/>
      <c r="AN290" s="36"/>
      <c r="AO290" s="36"/>
      <c r="AP290" s="36"/>
      <c r="AQ290" s="36"/>
      <c r="AR290" s="36"/>
      <c r="AS290" s="36"/>
      <c r="AT290" s="36"/>
      <c r="AU290" s="36"/>
      <c r="AV290" s="36"/>
      <c r="AW290" s="36"/>
      <c r="AX290" s="36"/>
      <c r="AY290" s="36"/>
      <c r="AZ290" s="36"/>
      <c r="BA290" s="36"/>
      <c r="BB290" s="36"/>
      <c r="BC290" s="36"/>
      <c r="BD290" s="36"/>
      <c r="BE290" s="36"/>
    </row>
    <row r="291" spans="2:59" s="30" customFormat="1" ht="15" x14ac:dyDescent="0.2">
      <c r="B291" s="182" t="s">
        <v>457</v>
      </c>
      <c r="C291" s="156" t="s">
        <v>223</v>
      </c>
      <c r="D291" s="33"/>
      <c r="E291" s="33"/>
      <c r="F291" s="33"/>
      <c r="G291" s="33"/>
      <c r="H291" s="57"/>
      <c r="J291" s="169"/>
      <c r="K291" s="169"/>
      <c r="L291" s="169"/>
      <c r="M291" s="40"/>
      <c r="N291" s="40"/>
      <c r="O291" s="259"/>
      <c r="Q291" s="45"/>
      <c r="R291" s="98"/>
      <c r="S291" s="98"/>
      <c r="T291" s="35"/>
      <c r="U291" s="35"/>
      <c r="V291" s="177"/>
      <c r="W291" s="177"/>
      <c r="X291" s="59"/>
      <c r="Y291" s="35"/>
      <c r="Z291" s="59"/>
      <c r="AA291" s="178"/>
      <c r="AB291" s="59"/>
      <c r="AC291" s="59"/>
      <c r="AD291" s="59"/>
      <c r="AE291" s="59"/>
      <c r="AF291" s="178"/>
      <c r="AG291" s="59"/>
      <c r="AH291" s="35"/>
      <c r="AI291" s="35"/>
      <c r="AJ291" s="35"/>
      <c r="AK291" s="104"/>
      <c r="AL291" s="35"/>
      <c r="AM291" s="35"/>
      <c r="AN291" s="36"/>
      <c r="AO291" s="36"/>
      <c r="AP291" s="36"/>
      <c r="AQ291" s="36"/>
      <c r="AR291" s="36"/>
      <c r="AS291" s="36"/>
      <c r="AT291" s="36"/>
      <c r="AU291" s="36"/>
      <c r="AV291" s="36"/>
      <c r="AW291" s="36"/>
      <c r="AX291" s="36"/>
      <c r="AY291" s="36"/>
      <c r="AZ291" s="36"/>
      <c r="BA291" s="36"/>
      <c r="BB291" s="36"/>
      <c r="BC291" s="36"/>
      <c r="BD291" s="36"/>
      <c r="BE291" s="36"/>
    </row>
    <row r="292" spans="2:59" s="30" customFormat="1" ht="15" x14ac:dyDescent="0.2">
      <c r="B292" s="44" t="s">
        <v>498</v>
      </c>
      <c r="C292" s="386"/>
      <c r="D292" s="81" t="s">
        <v>5</v>
      </c>
      <c r="G292" s="33"/>
      <c r="H292" s="81"/>
      <c r="I292" s="51"/>
      <c r="J292" s="51"/>
      <c r="K292" s="33"/>
      <c r="L292" s="33"/>
      <c r="M292" s="81"/>
      <c r="N292" s="81"/>
      <c r="O292" s="96"/>
      <c r="P292" s="51"/>
      <c r="Q292" s="50"/>
      <c r="R292" s="95"/>
      <c r="S292" s="35"/>
      <c r="T292" s="35"/>
      <c r="U292" s="35"/>
      <c r="V292" s="35"/>
      <c r="W292" s="35"/>
      <c r="X292" s="35"/>
      <c r="Y292" s="35"/>
      <c r="Z292" s="35"/>
      <c r="AA292" s="35"/>
      <c r="AB292" s="35"/>
      <c r="AC292" s="35"/>
      <c r="AD292" s="35"/>
      <c r="AE292" s="35"/>
      <c r="AF292" s="35"/>
      <c r="AG292" s="35"/>
      <c r="AH292" s="35"/>
      <c r="AI292" s="35"/>
      <c r="AJ292" s="35"/>
      <c r="AK292" s="35"/>
      <c r="AL292" s="35"/>
      <c r="AM292" s="35"/>
      <c r="AN292" s="36"/>
      <c r="AO292" s="36"/>
      <c r="AP292" s="36"/>
      <c r="AQ292" s="36"/>
      <c r="AR292" s="36"/>
      <c r="AS292" s="36"/>
      <c r="AT292" s="36"/>
      <c r="AU292" s="36"/>
      <c r="AV292" s="36"/>
      <c r="AW292" s="36"/>
      <c r="AX292" s="36"/>
      <c r="AY292" s="36"/>
      <c r="AZ292" s="36"/>
      <c r="BA292" s="36"/>
      <c r="BB292" s="36"/>
      <c r="BC292" s="36"/>
      <c r="BD292" s="36"/>
      <c r="BE292" s="36"/>
    </row>
    <row r="293" spans="2:59" s="30" customFormat="1" ht="15" x14ac:dyDescent="0.2">
      <c r="B293" s="52"/>
      <c r="C293" s="33"/>
      <c r="D293" s="57"/>
      <c r="E293" s="56"/>
      <c r="F293" s="56"/>
      <c r="G293" s="33"/>
      <c r="H293" s="81"/>
      <c r="J293" s="32"/>
      <c r="K293" s="33"/>
      <c r="L293" s="33"/>
      <c r="M293" s="81"/>
      <c r="N293" s="81"/>
      <c r="O293" s="96"/>
      <c r="Q293" s="34"/>
      <c r="R293" s="95"/>
      <c r="S293" s="35"/>
      <c r="T293" s="35"/>
      <c r="U293" s="35"/>
      <c r="V293" s="35"/>
      <c r="W293" s="35"/>
      <c r="X293" s="35"/>
      <c r="Y293" s="35"/>
      <c r="Z293" s="35"/>
      <c r="AA293" s="35"/>
      <c r="AB293" s="35"/>
      <c r="AC293" s="35"/>
      <c r="AD293" s="35"/>
      <c r="AE293" s="35"/>
      <c r="AF293" s="35"/>
      <c r="AG293" s="35"/>
      <c r="AH293" s="35"/>
      <c r="AI293" s="35"/>
      <c r="AJ293" s="35"/>
      <c r="AK293" s="35"/>
      <c r="AL293" s="35"/>
      <c r="AM293" s="35"/>
      <c r="AN293" s="36"/>
      <c r="AO293" s="36"/>
      <c r="AP293" s="36"/>
      <c r="AQ293" s="36"/>
      <c r="AR293" s="36"/>
      <c r="AS293" s="36"/>
      <c r="AT293" s="36"/>
      <c r="AU293" s="36"/>
      <c r="AV293" s="36"/>
      <c r="AW293" s="36"/>
      <c r="AX293" s="36"/>
      <c r="AY293" s="36"/>
      <c r="AZ293" s="36"/>
      <c r="BA293" s="36"/>
      <c r="BB293" s="36"/>
      <c r="BC293" s="36"/>
      <c r="BD293" s="36"/>
      <c r="BE293" s="36"/>
    </row>
    <row r="294" spans="2:59" s="30" customFormat="1" ht="15" x14ac:dyDescent="0.2">
      <c r="B294" s="173" t="s">
        <v>502</v>
      </c>
      <c r="C294" s="33"/>
      <c r="D294" s="57"/>
      <c r="E294" s="56"/>
      <c r="F294" s="56"/>
      <c r="G294" s="33"/>
      <c r="H294" s="81"/>
      <c r="J294" s="32"/>
      <c r="K294" s="33"/>
      <c r="L294" s="33"/>
      <c r="M294" s="81"/>
      <c r="N294" s="81"/>
      <c r="O294" s="96"/>
      <c r="Q294" s="34"/>
      <c r="R294" s="95"/>
      <c r="S294" s="35"/>
      <c r="T294" s="35"/>
      <c r="U294" s="35"/>
      <c r="V294" s="35"/>
      <c r="W294" s="35"/>
      <c r="X294" s="35"/>
      <c r="Y294" s="35"/>
      <c r="Z294" s="35"/>
      <c r="AA294" s="35"/>
      <c r="AB294" s="35"/>
      <c r="AC294" s="35"/>
      <c r="AD294" s="35"/>
      <c r="AE294" s="35"/>
      <c r="AF294" s="35"/>
      <c r="AG294" s="35"/>
      <c r="AH294" s="35"/>
      <c r="AI294" s="35"/>
      <c r="AJ294" s="35"/>
      <c r="AK294" s="35"/>
      <c r="AL294" s="35"/>
      <c r="AM294" s="35"/>
      <c r="AN294" s="36"/>
      <c r="AO294" s="36"/>
      <c r="AP294" s="36"/>
      <c r="AQ294" s="36"/>
      <c r="AR294" s="36"/>
      <c r="AS294" s="36"/>
      <c r="AT294" s="36"/>
      <c r="AU294" s="36"/>
      <c r="AV294" s="36"/>
      <c r="AW294" s="36"/>
      <c r="AX294" s="36"/>
      <c r="AY294" s="36"/>
      <c r="AZ294" s="36"/>
      <c r="BA294" s="36"/>
      <c r="BB294" s="36"/>
      <c r="BC294" s="36"/>
      <c r="BD294" s="36"/>
      <c r="BE294" s="36"/>
    </row>
    <row r="295" spans="2:59" s="30" customFormat="1" ht="15" x14ac:dyDescent="0.2">
      <c r="B295" s="52"/>
      <c r="C295" s="33"/>
      <c r="D295" s="57"/>
      <c r="E295" s="56"/>
      <c r="F295" s="56"/>
      <c r="G295" s="33"/>
      <c r="H295" s="81"/>
      <c r="J295" s="32"/>
      <c r="K295" s="33"/>
      <c r="L295" s="33"/>
      <c r="M295" s="81"/>
      <c r="N295" s="81"/>
      <c r="O295" s="81"/>
      <c r="Q295" s="34"/>
      <c r="R295" s="95"/>
      <c r="S295" s="35"/>
      <c r="T295" s="35"/>
      <c r="U295" s="35"/>
      <c r="V295" s="35"/>
      <c r="W295" s="35"/>
      <c r="X295" s="35"/>
      <c r="Y295" s="35"/>
      <c r="Z295" s="35"/>
      <c r="AA295" s="35"/>
      <c r="AB295" s="35"/>
      <c r="AC295" s="35"/>
      <c r="AD295" s="35"/>
      <c r="AE295" s="35"/>
      <c r="AF295" s="35"/>
      <c r="AG295" s="35"/>
      <c r="AH295" s="35"/>
      <c r="AI295" s="35"/>
      <c r="AJ295" s="35"/>
      <c r="AK295" s="35"/>
      <c r="AL295" s="35"/>
      <c r="AM295" s="35"/>
      <c r="AN295" s="36"/>
      <c r="AO295" s="36"/>
      <c r="AP295" s="36"/>
      <c r="AQ295" s="36"/>
      <c r="AR295" s="36"/>
      <c r="AS295" s="36"/>
      <c r="AT295" s="36"/>
      <c r="AU295" s="36"/>
      <c r="AV295" s="36"/>
      <c r="AW295" s="36"/>
      <c r="AX295" s="36"/>
      <c r="AY295" s="36"/>
      <c r="AZ295" s="36"/>
      <c r="BA295" s="36"/>
      <c r="BB295" s="36"/>
      <c r="BC295" s="36"/>
      <c r="BD295" s="36"/>
      <c r="BE295" s="36"/>
    </row>
    <row r="296" spans="2:59" s="289" customFormat="1" ht="18" x14ac:dyDescent="0.2">
      <c r="B296" s="286" t="s">
        <v>41</v>
      </c>
      <c r="C296" s="287"/>
      <c r="D296" s="288"/>
      <c r="G296" s="287"/>
      <c r="H296" s="288"/>
      <c r="K296" s="287"/>
      <c r="L296" s="287"/>
      <c r="M296" s="288"/>
      <c r="N296" s="288"/>
      <c r="O296" s="291"/>
      <c r="P296" s="311"/>
      <c r="Q296" s="295"/>
      <c r="S296" s="294"/>
      <c r="T296" s="294"/>
      <c r="U296" s="294"/>
      <c r="V296" s="294"/>
      <c r="W296" s="294"/>
      <c r="X296" s="294"/>
      <c r="Y296" s="294"/>
      <c r="Z296" s="294"/>
      <c r="AA296" s="294"/>
      <c r="AB296" s="294"/>
      <c r="AC296" s="294"/>
      <c r="AD296" s="294"/>
      <c r="AE296" s="294"/>
      <c r="AF296" s="294"/>
      <c r="AG296" s="294"/>
      <c r="AH296" s="294"/>
      <c r="AI296" s="294"/>
      <c r="AJ296" s="294"/>
      <c r="AK296" s="294"/>
      <c r="AL296" s="294"/>
      <c r="AM296" s="294"/>
      <c r="AN296" s="295"/>
      <c r="AO296" s="295"/>
      <c r="AP296" s="295"/>
      <c r="AQ296" s="295"/>
      <c r="AR296" s="295"/>
      <c r="AS296" s="295"/>
      <c r="AT296" s="295"/>
      <c r="AU296" s="295"/>
      <c r="AV296" s="295"/>
      <c r="AW296" s="295"/>
      <c r="AX296" s="295"/>
      <c r="AY296" s="295"/>
      <c r="AZ296" s="295"/>
      <c r="BA296" s="295"/>
      <c r="BB296" s="295"/>
      <c r="BC296" s="295"/>
      <c r="BD296" s="295"/>
      <c r="BE296" s="295"/>
    </row>
    <row r="297" spans="2:59" s="30" customFormat="1" ht="15.75" x14ac:dyDescent="0.2">
      <c r="B297" s="8"/>
      <c r="C297" s="33"/>
      <c r="D297" s="81"/>
      <c r="G297" s="33"/>
      <c r="H297" s="81"/>
      <c r="J297" s="32"/>
      <c r="K297" s="33"/>
      <c r="L297" s="33"/>
      <c r="M297" s="81"/>
      <c r="N297" s="81"/>
      <c r="O297" s="249" t="s">
        <v>584</v>
      </c>
      <c r="Q297" s="34"/>
      <c r="R297" s="95"/>
      <c r="S297" s="35"/>
      <c r="T297" s="35"/>
      <c r="U297" s="35"/>
      <c r="V297" s="35"/>
      <c r="W297" s="35"/>
      <c r="X297" s="35"/>
      <c r="Y297" s="35"/>
      <c r="Z297" s="35"/>
      <c r="AA297" s="35"/>
      <c r="AB297" s="35"/>
      <c r="AC297" s="35"/>
      <c r="AD297" s="35"/>
      <c r="AE297" s="35"/>
      <c r="AF297" s="35"/>
      <c r="AG297" s="35"/>
      <c r="AH297" s="35"/>
      <c r="AI297" s="35"/>
      <c r="AJ297" s="35"/>
      <c r="AK297" s="35"/>
      <c r="AL297" s="35"/>
      <c r="AM297" s="35"/>
      <c r="AN297" s="36"/>
      <c r="AO297" s="36"/>
      <c r="AP297" s="36"/>
      <c r="AQ297" s="36"/>
      <c r="AR297" s="36"/>
      <c r="AS297" s="36"/>
      <c r="AT297" s="36"/>
      <c r="AU297" s="36"/>
      <c r="AV297" s="36"/>
      <c r="AW297" s="36"/>
      <c r="AX297" s="36"/>
      <c r="AY297" s="36"/>
      <c r="AZ297" s="36"/>
      <c r="BA297" s="36"/>
      <c r="BB297" s="36"/>
      <c r="BC297" s="36"/>
      <c r="BD297" s="36"/>
      <c r="BE297" s="36"/>
      <c r="BF297" s="104"/>
      <c r="BG297" s="104"/>
    </row>
    <row r="298" spans="2:59" s="30" customFormat="1" ht="15.75" x14ac:dyDescent="0.2">
      <c r="B298" s="8" t="s">
        <v>545</v>
      </c>
      <c r="C298" s="33"/>
      <c r="D298" s="81"/>
      <c r="G298" s="33"/>
      <c r="H298" s="81"/>
      <c r="J298" s="32"/>
      <c r="K298" s="37"/>
      <c r="L298" s="37"/>
      <c r="M298" s="81"/>
      <c r="N298" s="81"/>
      <c r="O298" s="250"/>
      <c r="Q298" s="34"/>
      <c r="R298" s="35"/>
      <c r="S298" s="35"/>
      <c r="T298" s="35"/>
      <c r="U298" s="35"/>
      <c r="V298" s="35"/>
      <c r="W298" s="35"/>
      <c r="X298" s="35"/>
      <c r="Y298" s="35"/>
      <c r="Z298" s="35"/>
      <c r="AA298" s="35"/>
      <c r="AB298" s="35"/>
      <c r="AC298" s="35"/>
      <c r="AD298" s="35"/>
      <c r="AE298" s="35"/>
      <c r="AF298" s="35"/>
      <c r="AG298" s="35"/>
      <c r="AH298" s="35"/>
      <c r="AI298" s="35"/>
      <c r="AJ298" s="35"/>
      <c r="AK298" s="35"/>
      <c r="AL298" s="35"/>
      <c r="AM298" s="35"/>
      <c r="AN298" s="36"/>
      <c r="AO298" s="36"/>
      <c r="AP298" s="36"/>
      <c r="AQ298" s="36"/>
      <c r="AR298" s="36"/>
      <c r="AS298" s="36"/>
      <c r="AT298" s="36"/>
      <c r="AU298" s="36"/>
      <c r="AV298" s="36"/>
      <c r="AW298" s="36"/>
      <c r="AX298" s="36"/>
      <c r="AY298" s="36"/>
      <c r="AZ298" s="36"/>
      <c r="BA298" s="36"/>
      <c r="BB298" s="36"/>
      <c r="BC298" s="36"/>
      <c r="BD298" s="36"/>
      <c r="BE298" s="36"/>
    </row>
    <row r="299" spans="2:59" s="30" customFormat="1" ht="15.75" x14ac:dyDescent="0.2">
      <c r="B299" s="8"/>
      <c r="C299" s="33"/>
      <c r="D299" s="81"/>
      <c r="G299" s="33"/>
      <c r="H299" s="81"/>
      <c r="J299" s="32"/>
      <c r="K299" s="37" t="s">
        <v>297</v>
      </c>
      <c r="L299" s="37" t="s">
        <v>185</v>
      </c>
      <c r="M299" s="81"/>
      <c r="N299" s="81"/>
      <c r="O299" s="96"/>
      <c r="Q299" s="34"/>
      <c r="R299" s="35" t="s">
        <v>318</v>
      </c>
      <c r="S299" s="35"/>
      <c r="T299" s="35"/>
      <c r="U299" s="35"/>
      <c r="V299" s="35"/>
      <c r="W299" s="35"/>
      <c r="X299" s="35"/>
      <c r="Y299" s="35"/>
      <c r="Z299" s="35"/>
      <c r="AA299" s="35"/>
      <c r="AB299" s="35"/>
      <c r="AC299" s="35"/>
      <c r="AD299" s="35"/>
      <c r="AE299" s="35"/>
      <c r="AF299" s="35"/>
      <c r="AG299" s="35"/>
      <c r="AH299" s="35"/>
      <c r="AI299" s="35"/>
      <c r="AJ299" s="35"/>
      <c r="AK299" s="35"/>
      <c r="AL299" s="35"/>
      <c r="AM299" s="35"/>
      <c r="AN299" s="36"/>
      <c r="AO299" s="36"/>
      <c r="AP299" s="36"/>
      <c r="AQ299" s="36"/>
      <c r="AR299" s="36"/>
      <c r="AS299" s="36"/>
      <c r="AT299" s="36"/>
      <c r="AU299" s="36"/>
      <c r="AV299" s="36"/>
      <c r="AW299" s="36"/>
      <c r="AX299" s="36"/>
      <c r="AY299" s="36"/>
      <c r="AZ299" s="36"/>
      <c r="BA299" s="36"/>
      <c r="BB299" s="36"/>
      <c r="BC299" s="36"/>
      <c r="BD299" s="36"/>
      <c r="BE299" s="36"/>
    </row>
    <row r="300" spans="2:59" s="30" customFormat="1" ht="30" x14ac:dyDescent="0.2">
      <c r="B300" s="83" t="s">
        <v>500</v>
      </c>
      <c r="C300" s="156"/>
      <c r="D300" s="81" t="s">
        <v>163</v>
      </c>
      <c r="G300" s="33"/>
      <c r="H300" s="81"/>
      <c r="J300" s="32" t="s">
        <v>513</v>
      </c>
      <c r="K300" s="92">
        <f>IF(ISNUMBER(L300),L300,Muut!$F$29*IF(OR(C301=Pudotusvalikot!$V$3,C301=Pudotusvalikot!$V$4),Muut!$E$40,IF(C301=Pudotusvalikot!$V$5,Muut!$E$41,IF(C301=Pudotusvalikot!$V$6,Muut!$E$42,Muut!$E$43))))</f>
        <v>0.22753333333333334</v>
      </c>
      <c r="L300" s="61"/>
      <c r="M300" s="40" t="s">
        <v>207</v>
      </c>
      <c r="N300" s="40"/>
      <c r="O300" s="259"/>
      <c r="Q300" s="34"/>
      <c r="R300" s="105" t="str">
        <f>IF(AND(ISNUMBER(K300),ISNUMBER(C300)),K300*C300,"")</f>
        <v/>
      </c>
      <c r="S300" s="98" t="s">
        <v>160</v>
      </c>
      <c r="T300" s="59"/>
      <c r="U300" s="59"/>
      <c r="V300" s="59"/>
      <c r="W300" s="35"/>
      <c r="X300" s="35"/>
      <c r="Y300" s="35"/>
      <c r="Z300" s="35"/>
      <c r="AA300" s="35"/>
      <c r="AB300" s="35"/>
      <c r="AC300" s="35"/>
      <c r="AD300" s="35"/>
      <c r="AE300" s="35"/>
      <c r="AF300" s="35"/>
      <c r="AG300" s="35"/>
      <c r="AH300" s="35"/>
      <c r="AI300" s="35"/>
      <c r="AJ300" s="35"/>
      <c r="AK300" s="35"/>
      <c r="AL300" s="35"/>
      <c r="AM300" s="35"/>
      <c r="AN300" s="36"/>
      <c r="AO300" s="36"/>
      <c r="AP300" s="36"/>
      <c r="AQ300" s="36"/>
      <c r="AR300" s="36"/>
      <c r="AS300" s="36"/>
      <c r="AT300" s="36"/>
      <c r="AU300" s="36"/>
      <c r="AV300" s="36"/>
      <c r="AW300" s="36"/>
      <c r="AX300" s="36"/>
      <c r="AY300" s="36"/>
      <c r="AZ300" s="36"/>
      <c r="BA300" s="36"/>
      <c r="BB300" s="36"/>
      <c r="BC300" s="36"/>
      <c r="BD300" s="36"/>
      <c r="BE300" s="36"/>
    </row>
    <row r="301" spans="2:59" s="30" customFormat="1" ht="15" x14ac:dyDescent="0.2">
      <c r="B301" s="166" t="s">
        <v>460</v>
      </c>
      <c r="C301" s="156" t="s">
        <v>223</v>
      </c>
      <c r="D301" s="33"/>
      <c r="E301" s="33"/>
      <c r="F301" s="33"/>
      <c r="G301" s="33"/>
      <c r="H301" s="33"/>
      <c r="I301" s="33"/>
      <c r="J301" s="169"/>
      <c r="K301" s="169"/>
      <c r="L301" s="169"/>
      <c r="M301" s="40"/>
      <c r="N301" s="40"/>
      <c r="O301" s="259"/>
      <c r="Q301" s="45"/>
      <c r="R301" s="59"/>
      <c r="S301" s="98"/>
      <c r="T301" s="35"/>
      <c r="U301" s="35"/>
      <c r="V301" s="177"/>
      <c r="W301" s="177"/>
      <c r="X301" s="59"/>
      <c r="Y301" s="35"/>
      <c r="Z301" s="59"/>
      <c r="AA301" s="178"/>
      <c r="AB301" s="59"/>
      <c r="AC301" s="59"/>
      <c r="AD301" s="59"/>
      <c r="AE301" s="59"/>
      <c r="AF301" s="178"/>
      <c r="AG301" s="59"/>
      <c r="AH301" s="35"/>
      <c r="AI301" s="35"/>
      <c r="AJ301" s="35"/>
      <c r="AK301" s="104"/>
      <c r="AL301" s="35"/>
      <c r="AM301" s="35"/>
      <c r="AN301" s="36"/>
      <c r="AO301" s="36"/>
      <c r="AP301" s="36"/>
      <c r="AQ301" s="36"/>
      <c r="AR301" s="36"/>
      <c r="AS301" s="36"/>
      <c r="AT301" s="36"/>
      <c r="AU301" s="36"/>
      <c r="AV301" s="36"/>
      <c r="AW301" s="36"/>
      <c r="AX301" s="36"/>
      <c r="AY301" s="36"/>
      <c r="AZ301" s="36"/>
      <c r="BA301" s="36"/>
      <c r="BB301" s="36"/>
      <c r="BC301" s="36"/>
      <c r="BD301" s="36"/>
      <c r="BE301" s="36"/>
    </row>
    <row r="302" spans="2:59" s="30" customFormat="1" ht="45" x14ac:dyDescent="0.2">
      <c r="B302" s="83" t="s">
        <v>476</v>
      </c>
      <c r="F302" s="33"/>
      <c r="G302" s="33"/>
      <c r="H302" s="33"/>
      <c r="I302" s="33"/>
      <c r="K302" s="37" t="s">
        <v>297</v>
      </c>
      <c r="L302" s="37" t="s">
        <v>185</v>
      </c>
      <c r="M302" s="81"/>
      <c r="N302" s="81"/>
      <c r="O302" s="96"/>
      <c r="Q302" s="34"/>
      <c r="R302" s="35" t="s">
        <v>318</v>
      </c>
      <c r="S302" s="104"/>
      <c r="T302" s="35"/>
      <c r="U302" s="35"/>
      <c r="V302" s="35"/>
      <c r="W302" s="35"/>
      <c r="X302" s="35"/>
      <c r="Y302" s="35"/>
      <c r="Z302" s="35"/>
      <c r="AA302" s="35"/>
      <c r="AB302" s="35"/>
      <c r="AC302" s="35"/>
      <c r="AD302" s="35"/>
      <c r="AE302" s="35"/>
      <c r="AF302" s="35"/>
      <c r="AG302" s="35"/>
      <c r="AH302" s="35"/>
      <c r="AI302" s="35"/>
      <c r="AJ302" s="35"/>
      <c r="AK302" s="35"/>
      <c r="AL302" s="35"/>
      <c r="AM302" s="35"/>
      <c r="AN302" s="36"/>
      <c r="AO302" s="36"/>
      <c r="AP302" s="36"/>
      <c r="AQ302" s="36"/>
      <c r="AR302" s="36"/>
      <c r="AS302" s="36"/>
      <c r="AT302" s="36"/>
      <c r="AU302" s="36"/>
      <c r="AV302" s="36"/>
      <c r="AW302" s="36"/>
      <c r="AX302" s="36"/>
      <c r="AY302" s="36"/>
      <c r="AZ302" s="36"/>
      <c r="BA302" s="36"/>
      <c r="BB302" s="36"/>
      <c r="BC302" s="36"/>
      <c r="BD302" s="36"/>
      <c r="BE302" s="36"/>
    </row>
    <row r="303" spans="2:59" s="30" customFormat="1" ht="15" x14ac:dyDescent="0.2">
      <c r="B303" s="132" t="s">
        <v>503</v>
      </c>
      <c r="C303" s="64"/>
      <c r="D303" s="81" t="s">
        <v>52</v>
      </c>
      <c r="G303" s="33"/>
      <c r="H303" s="81"/>
      <c r="J303" s="32" t="s">
        <v>347</v>
      </c>
      <c r="K303" s="134">
        <f>IF(ISNUMBER(L303),L303,Muut!$F$31)</f>
        <v>33.857142857142854</v>
      </c>
      <c r="L303" s="61"/>
      <c r="M303" s="40" t="s">
        <v>248</v>
      </c>
      <c r="N303" s="40"/>
      <c r="O303" s="259"/>
      <c r="Q303" s="34"/>
      <c r="R303" s="105" t="str">
        <f>IF(AND(ISNUMBER(K303),ISNUMBER(C303)),K303*C303,"")</f>
        <v/>
      </c>
      <c r="S303" s="98" t="s">
        <v>160</v>
      </c>
      <c r="T303" s="35"/>
      <c r="U303" s="35"/>
      <c r="V303" s="35"/>
      <c r="W303" s="35"/>
      <c r="X303" s="35"/>
      <c r="Y303" s="35"/>
      <c r="Z303" s="35"/>
      <c r="AA303" s="35"/>
      <c r="AB303" s="35"/>
      <c r="AC303" s="35"/>
      <c r="AD303" s="35"/>
      <c r="AE303" s="35"/>
      <c r="AF303" s="35"/>
      <c r="AG303" s="35"/>
      <c r="AH303" s="35"/>
      <c r="AI303" s="35"/>
      <c r="AJ303" s="35"/>
      <c r="AK303" s="35"/>
      <c r="AL303" s="35"/>
      <c r="AM303" s="35"/>
      <c r="AN303" s="36"/>
      <c r="AO303" s="36"/>
      <c r="AP303" s="36"/>
      <c r="AQ303" s="36"/>
      <c r="AR303" s="36"/>
      <c r="AS303" s="36"/>
      <c r="AT303" s="36"/>
      <c r="AU303" s="36"/>
      <c r="AV303" s="36"/>
      <c r="AW303" s="36"/>
      <c r="AX303" s="36"/>
      <c r="AY303" s="36"/>
      <c r="AZ303" s="36"/>
      <c r="BA303" s="36"/>
      <c r="BB303" s="36"/>
      <c r="BC303" s="36"/>
      <c r="BD303" s="36"/>
      <c r="BE303" s="36"/>
    </row>
    <row r="304" spans="2:59" s="30" customFormat="1" ht="15" x14ac:dyDescent="0.2">
      <c r="B304" s="166" t="s">
        <v>518</v>
      </c>
      <c r="C304" s="150"/>
      <c r="D304" s="81" t="str">
        <f>IF(ISBLANK(C304),"%","")</f>
        <v>%</v>
      </c>
      <c r="E304" s="33"/>
      <c r="F304" s="33"/>
      <c r="G304" s="33"/>
      <c r="H304" s="81"/>
      <c r="J304" s="32" t="s">
        <v>508</v>
      </c>
      <c r="K304" s="92" t="str">
        <f>IF(ISNUMBER(L304),L304,"")</f>
        <v/>
      </c>
      <c r="L304" s="181"/>
      <c r="M304" s="40" t="s">
        <v>248</v>
      </c>
      <c r="N304" s="40"/>
      <c r="O304" s="259"/>
      <c r="Q304" s="34"/>
      <c r="R304" s="105" t="str">
        <f>IF(AND(ISNUMBER(K304),ISNUMBER(C304)),-K304*C304*C303,"")</f>
        <v/>
      </c>
      <c r="S304" s="98" t="s">
        <v>160</v>
      </c>
      <c r="T304" s="131" t="s">
        <v>348</v>
      </c>
      <c r="U304" s="35"/>
      <c r="V304" s="35"/>
      <c r="W304" s="35"/>
      <c r="X304" s="35"/>
      <c r="Y304" s="35"/>
      <c r="Z304" s="35"/>
      <c r="AA304" s="35"/>
      <c r="AB304" s="35"/>
      <c r="AC304" s="35"/>
      <c r="AD304" s="35"/>
      <c r="AE304" s="35"/>
      <c r="AF304" s="35"/>
      <c r="AG304" s="35"/>
      <c r="AH304" s="35"/>
      <c r="AI304" s="35"/>
      <c r="AJ304" s="35"/>
      <c r="AK304" s="35"/>
      <c r="AL304" s="35"/>
      <c r="AM304" s="35"/>
      <c r="AN304" s="36"/>
      <c r="AO304" s="36"/>
      <c r="AP304" s="36"/>
      <c r="AQ304" s="36"/>
      <c r="AR304" s="36"/>
      <c r="AS304" s="36"/>
      <c r="AT304" s="36"/>
      <c r="AU304" s="36"/>
      <c r="AV304" s="36"/>
      <c r="AW304" s="36"/>
      <c r="AX304" s="36"/>
      <c r="AY304" s="36"/>
      <c r="AZ304" s="36"/>
      <c r="BA304" s="36"/>
      <c r="BB304" s="36"/>
      <c r="BC304" s="36"/>
      <c r="BD304" s="36"/>
      <c r="BE304" s="36"/>
    </row>
    <row r="305" spans="2:57" s="30" customFormat="1" ht="15" x14ac:dyDescent="0.2">
      <c r="B305" s="166" t="s">
        <v>519</v>
      </c>
      <c r="C305" s="150"/>
      <c r="D305" s="81" t="str">
        <f>IF(ISBLANK(C305),"%","")</f>
        <v>%</v>
      </c>
      <c r="E305" s="33"/>
      <c r="F305" s="33"/>
      <c r="G305" s="33"/>
      <c r="H305" s="81"/>
      <c r="J305" s="32" t="s">
        <v>512</v>
      </c>
      <c r="K305" s="92" t="str">
        <f>IF(ISNUMBER(L305),L305,"")</f>
        <v/>
      </c>
      <c r="L305" s="181"/>
      <c r="M305" s="40" t="s">
        <v>248</v>
      </c>
      <c r="N305" s="40"/>
      <c r="O305" s="259"/>
      <c r="Q305" s="34"/>
      <c r="R305" s="105" t="str">
        <f>IF(AND(ISNUMBER(K305),ISNUMBER(C305)),-K305*C305*C303,"")</f>
        <v/>
      </c>
      <c r="S305" s="98" t="s">
        <v>160</v>
      </c>
      <c r="T305" s="131" t="s">
        <v>348</v>
      </c>
      <c r="U305" s="35"/>
      <c r="V305" s="35"/>
      <c r="W305" s="35"/>
      <c r="X305" s="35"/>
      <c r="Y305" s="35"/>
      <c r="Z305" s="35"/>
      <c r="AA305" s="35"/>
      <c r="AB305" s="35"/>
      <c r="AC305" s="35"/>
      <c r="AD305" s="35"/>
      <c r="AE305" s="35"/>
      <c r="AF305" s="35"/>
      <c r="AG305" s="35"/>
      <c r="AH305" s="35"/>
      <c r="AI305" s="35"/>
      <c r="AJ305" s="35"/>
      <c r="AK305" s="35"/>
      <c r="AL305" s="35"/>
      <c r="AM305" s="35"/>
      <c r="AN305" s="36"/>
      <c r="AO305" s="36"/>
      <c r="AP305" s="36"/>
      <c r="AQ305" s="36"/>
      <c r="AR305" s="36"/>
      <c r="AS305" s="36"/>
      <c r="AT305" s="36"/>
      <c r="AU305" s="36"/>
      <c r="AV305" s="36"/>
      <c r="AW305" s="36"/>
      <c r="AX305" s="36"/>
      <c r="AY305" s="36"/>
      <c r="AZ305" s="36"/>
      <c r="BA305" s="36"/>
      <c r="BB305" s="36"/>
      <c r="BC305" s="36"/>
      <c r="BD305" s="36"/>
      <c r="BE305" s="36"/>
    </row>
    <row r="306" spans="2:57" s="30" customFormat="1" ht="15" x14ac:dyDescent="0.2">
      <c r="B306" s="132" t="s">
        <v>504</v>
      </c>
      <c r="C306" s="64"/>
      <c r="D306" s="81" t="s">
        <v>52</v>
      </c>
      <c r="G306" s="33"/>
      <c r="H306" s="81"/>
      <c r="J306" s="32" t="s">
        <v>347</v>
      </c>
      <c r="K306" s="134">
        <f>IF(ISNUMBER(L306),L306,Muut!$F$31)</f>
        <v>33.857142857142854</v>
      </c>
      <c r="L306" s="61"/>
      <c r="M306" s="40" t="s">
        <v>248</v>
      </c>
      <c r="N306" s="40"/>
      <c r="O306" s="259"/>
      <c r="Q306" s="34"/>
      <c r="R306" s="105" t="str">
        <f>IF(AND(ISNUMBER(K306),ISNUMBER(C306)),K306*C306,"")</f>
        <v/>
      </c>
      <c r="S306" s="98" t="s">
        <v>160</v>
      </c>
      <c r="T306" s="35"/>
      <c r="U306" s="35"/>
      <c r="V306" s="35"/>
      <c r="W306" s="35"/>
      <c r="X306" s="35"/>
      <c r="Y306" s="35"/>
      <c r="Z306" s="35"/>
      <c r="AA306" s="35"/>
      <c r="AB306" s="35"/>
      <c r="AC306" s="35"/>
      <c r="AD306" s="35"/>
      <c r="AE306" s="35"/>
      <c r="AF306" s="35"/>
      <c r="AG306" s="35"/>
      <c r="AH306" s="35"/>
      <c r="AI306" s="35"/>
      <c r="AJ306" s="35"/>
      <c r="AK306" s="35"/>
      <c r="AL306" s="35"/>
      <c r="AM306" s="35"/>
      <c r="AN306" s="36"/>
      <c r="AO306" s="36"/>
      <c r="AP306" s="36"/>
      <c r="AQ306" s="36"/>
      <c r="AR306" s="36"/>
      <c r="AS306" s="36"/>
      <c r="AT306" s="36"/>
      <c r="AU306" s="36"/>
      <c r="AV306" s="36"/>
      <c r="AW306" s="36"/>
      <c r="AX306" s="36"/>
      <c r="AY306" s="36"/>
      <c r="AZ306" s="36"/>
      <c r="BA306" s="36"/>
      <c r="BB306" s="36"/>
      <c r="BC306" s="36"/>
      <c r="BD306" s="36"/>
      <c r="BE306" s="36"/>
    </row>
    <row r="307" spans="2:57" s="30" customFormat="1" ht="15" x14ac:dyDescent="0.2">
      <c r="B307" s="166" t="s">
        <v>520</v>
      </c>
      <c r="C307" s="150"/>
      <c r="D307" s="81" t="str">
        <f t="shared" ref="D307:D308" si="0">IF(ISBLANK(C307),"%","")</f>
        <v>%</v>
      </c>
      <c r="G307" s="33"/>
      <c r="H307" s="81"/>
      <c r="J307" s="32" t="s">
        <v>508</v>
      </c>
      <c r="K307" s="92" t="str">
        <f>IF(ISNUMBER(L307),L307,"")</f>
        <v/>
      </c>
      <c r="L307" s="181"/>
      <c r="M307" s="40" t="s">
        <v>248</v>
      </c>
      <c r="N307" s="40"/>
      <c r="O307" s="259"/>
      <c r="Q307" s="34"/>
      <c r="R307" s="105" t="str">
        <f>IF(AND(ISNUMBER(K307),ISNUMBER(C307)),-K307*C307*C306,"")</f>
        <v/>
      </c>
      <c r="S307" s="98" t="s">
        <v>160</v>
      </c>
      <c r="T307" s="131" t="s">
        <v>348</v>
      </c>
      <c r="U307" s="35"/>
      <c r="V307" s="35"/>
      <c r="W307" s="35"/>
      <c r="X307" s="35"/>
      <c r="Y307" s="35"/>
      <c r="Z307" s="35"/>
      <c r="AA307" s="35"/>
      <c r="AB307" s="35"/>
      <c r="AC307" s="35"/>
      <c r="AD307" s="35"/>
      <c r="AE307" s="35"/>
      <c r="AF307" s="35"/>
      <c r="AG307" s="35"/>
      <c r="AH307" s="35"/>
      <c r="AI307" s="35"/>
      <c r="AJ307" s="35"/>
      <c r="AK307" s="35"/>
      <c r="AL307" s="35"/>
      <c r="AM307" s="35"/>
      <c r="AN307" s="36"/>
      <c r="AO307" s="36"/>
      <c r="AP307" s="36"/>
      <c r="AQ307" s="36"/>
      <c r="AR307" s="36"/>
      <c r="AS307" s="36"/>
      <c r="AT307" s="36"/>
      <c r="AU307" s="36"/>
      <c r="AV307" s="36"/>
      <c r="AW307" s="36"/>
      <c r="AX307" s="36"/>
      <c r="AY307" s="36"/>
      <c r="AZ307" s="36"/>
      <c r="BA307" s="36"/>
      <c r="BB307" s="36"/>
      <c r="BC307" s="36"/>
      <c r="BD307" s="36"/>
      <c r="BE307" s="36"/>
    </row>
    <row r="308" spans="2:57" s="30" customFormat="1" ht="15" x14ac:dyDescent="0.2">
      <c r="B308" s="166" t="s">
        <v>519</v>
      </c>
      <c r="C308" s="150"/>
      <c r="D308" s="81" t="str">
        <f t="shared" si="0"/>
        <v>%</v>
      </c>
      <c r="E308" s="33"/>
      <c r="F308" s="33"/>
      <c r="G308" s="33"/>
      <c r="H308" s="81"/>
      <c r="J308" s="32" t="s">
        <v>512</v>
      </c>
      <c r="K308" s="92" t="str">
        <f>IF(ISNUMBER(L308),L308,"")</f>
        <v/>
      </c>
      <c r="L308" s="181"/>
      <c r="M308" s="40" t="s">
        <v>248</v>
      </c>
      <c r="N308" s="40"/>
      <c r="O308" s="259"/>
      <c r="Q308" s="34"/>
      <c r="R308" s="105" t="str">
        <f>IF(AND(ISNUMBER(K308),ISNUMBER(C308)),-K308*C308*C306,"")</f>
        <v/>
      </c>
      <c r="S308" s="98" t="s">
        <v>160</v>
      </c>
      <c r="T308" s="131" t="s">
        <v>348</v>
      </c>
      <c r="U308" s="35"/>
      <c r="V308" s="35"/>
      <c r="W308" s="35"/>
      <c r="X308" s="35"/>
      <c r="Y308" s="35"/>
      <c r="Z308" s="35"/>
      <c r="AA308" s="35"/>
      <c r="AB308" s="35"/>
      <c r="AC308" s="35"/>
      <c r="AD308" s="35"/>
      <c r="AE308" s="35"/>
      <c r="AF308" s="35"/>
      <c r="AG308" s="35"/>
      <c r="AH308" s="35"/>
      <c r="AI308" s="35"/>
      <c r="AJ308" s="35"/>
      <c r="AK308" s="35"/>
      <c r="AL308" s="35"/>
      <c r="AM308" s="35"/>
      <c r="AN308" s="36"/>
      <c r="AO308" s="36"/>
      <c r="AP308" s="36"/>
      <c r="AQ308" s="36"/>
      <c r="AR308" s="36"/>
      <c r="AS308" s="36"/>
      <c r="AT308" s="36"/>
      <c r="AU308" s="36"/>
      <c r="AV308" s="36"/>
      <c r="AW308" s="36"/>
      <c r="AX308" s="36"/>
      <c r="AY308" s="36"/>
      <c r="AZ308" s="36"/>
      <c r="BA308" s="36"/>
      <c r="BB308" s="36"/>
      <c r="BC308" s="36"/>
      <c r="BD308" s="36"/>
      <c r="BE308" s="36"/>
    </row>
    <row r="309" spans="2:57" s="30" customFormat="1" ht="15" x14ac:dyDescent="0.2">
      <c r="B309" s="132" t="s">
        <v>505</v>
      </c>
      <c r="C309" s="64"/>
      <c r="D309" s="81" t="s">
        <v>52</v>
      </c>
      <c r="G309" s="33"/>
      <c r="H309" s="81"/>
      <c r="J309" s="32" t="s">
        <v>347</v>
      </c>
      <c r="K309" s="134">
        <f>IF(ISNUMBER(L309),L309,Muut!$F$31)</f>
        <v>33.857142857142854</v>
      </c>
      <c r="L309" s="61"/>
      <c r="M309" s="40" t="s">
        <v>248</v>
      </c>
      <c r="N309" s="40"/>
      <c r="O309" s="259"/>
      <c r="Q309" s="34"/>
      <c r="R309" s="105" t="str">
        <f>IF(AND(ISNUMBER(K309),ISNUMBER(C309)),K309*C309,"")</f>
        <v/>
      </c>
      <c r="S309" s="98" t="s">
        <v>160</v>
      </c>
      <c r="T309" s="35"/>
      <c r="U309" s="35"/>
      <c r="V309" s="35"/>
      <c r="W309" s="35"/>
      <c r="X309" s="35"/>
      <c r="Y309" s="35"/>
      <c r="Z309" s="35"/>
      <c r="AA309" s="35"/>
      <c r="AB309" s="35"/>
      <c r="AC309" s="35"/>
      <c r="AD309" s="35"/>
      <c r="AE309" s="35"/>
      <c r="AF309" s="35"/>
      <c r="AG309" s="35"/>
      <c r="AH309" s="35"/>
      <c r="AI309" s="35"/>
      <c r="AJ309" s="35"/>
      <c r="AK309" s="35"/>
      <c r="AL309" s="35"/>
      <c r="AM309" s="35"/>
      <c r="AN309" s="36"/>
      <c r="AO309" s="36"/>
      <c r="AP309" s="36"/>
      <c r="AQ309" s="36"/>
      <c r="AR309" s="36"/>
      <c r="AS309" s="36"/>
      <c r="AT309" s="36"/>
      <c r="AU309" s="36"/>
      <c r="AV309" s="36"/>
      <c r="AW309" s="36"/>
      <c r="AX309" s="36"/>
      <c r="AY309" s="36"/>
      <c r="AZ309" s="36"/>
      <c r="BA309" s="36"/>
      <c r="BB309" s="36"/>
      <c r="BC309" s="36"/>
      <c r="BD309" s="36"/>
      <c r="BE309" s="36"/>
    </row>
    <row r="310" spans="2:57" s="30" customFormat="1" ht="15" x14ac:dyDescent="0.2">
      <c r="B310" s="166" t="s">
        <v>520</v>
      </c>
      <c r="C310" s="150"/>
      <c r="D310" s="81" t="str">
        <f t="shared" ref="D310:D311" si="1">IF(ISBLANK(C310),"%","")</f>
        <v>%</v>
      </c>
      <c r="E310" s="33"/>
      <c r="F310" s="33"/>
      <c r="G310" s="33"/>
      <c r="H310" s="81"/>
      <c r="J310" s="32" t="s">
        <v>508</v>
      </c>
      <c r="K310" s="92" t="str">
        <f>IF(ISNUMBER(L310),L310,"")</f>
        <v/>
      </c>
      <c r="L310" s="181"/>
      <c r="M310" s="40" t="s">
        <v>248</v>
      </c>
      <c r="N310" s="40"/>
      <c r="O310" s="259"/>
      <c r="Q310" s="34"/>
      <c r="R310" s="105" t="str">
        <f>IF(AND(ISNUMBER(K310),ISNUMBER(C310)),-K310*C310*C309,"")</f>
        <v/>
      </c>
      <c r="S310" s="98" t="s">
        <v>160</v>
      </c>
      <c r="T310" s="131" t="s">
        <v>348</v>
      </c>
      <c r="U310" s="35"/>
      <c r="V310" s="35"/>
      <c r="W310" s="35"/>
      <c r="X310" s="35"/>
      <c r="Y310" s="35"/>
      <c r="Z310" s="35"/>
      <c r="AA310" s="35"/>
      <c r="AB310" s="35"/>
      <c r="AC310" s="35"/>
      <c r="AD310" s="35"/>
      <c r="AE310" s="35"/>
      <c r="AF310" s="35"/>
      <c r="AG310" s="35"/>
      <c r="AH310" s="35"/>
      <c r="AI310" s="35"/>
      <c r="AJ310" s="35"/>
      <c r="AK310" s="35"/>
      <c r="AL310" s="35"/>
      <c r="AM310" s="35"/>
      <c r="AN310" s="36"/>
      <c r="AO310" s="36"/>
      <c r="AP310" s="36"/>
      <c r="AQ310" s="36"/>
      <c r="AR310" s="36"/>
      <c r="AS310" s="36"/>
      <c r="AT310" s="36"/>
      <c r="AU310" s="36"/>
      <c r="AV310" s="36"/>
      <c r="AW310" s="36"/>
      <c r="AX310" s="36"/>
      <c r="AY310" s="36"/>
      <c r="AZ310" s="36"/>
      <c r="BA310" s="36"/>
      <c r="BB310" s="36"/>
      <c r="BC310" s="36"/>
      <c r="BD310" s="36"/>
      <c r="BE310" s="36"/>
    </row>
    <row r="311" spans="2:57" s="30" customFormat="1" ht="15" x14ac:dyDescent="0.2">
      <c r="B311" s="166" t="s">
        <v>519</v>
      </c>
      <c r="C311" s="150"/>
      <c r="D311" s="81" t="str">
        <f t="shared" si="1"/>
        <v>%</v>
      </c>
      <c r="E311" s="33"/>
      <c r="F311" s="33"/>
      <c r="G311" s="33"/>
      <c r="H311" s="81"/>
      <c r="J311" s="32" t="s">
        <v>512</v>
      </c>
      <c r="K311" s="92" t="str">
        <f>IF(ISNUMBER(L311),L311,"")</f>
        <v/>
      </c>
      <c r="L311" s="181"/>
      <c r="M311" s="40" t="s">
        <v>248</v>
      </c>
      <c r="N311" s="40"/>
      <c r="O311" s="259"/>
      <c r="Q311" s="34"/>
      <c r="R311" s="105" t="str">
        <f>IF(AND(ISNUMBER(K311),ISNUMBER(C311)),-K311*C311*C309,"")</f>
        <v/>
      </c>
      <c r="S311" s="98" t="s">
        <v>160</v>
      </c>
      <c r="T311" s="131" t="s">
        <v>348</v>
      </c>
      <c r="U311" s="35"/>
      <c r="V311" s="35"/>
      <c r="W311" s="35"/>
      <c r="X311" s="35"/>
      <c r="Y311" s="35"/>
      <c r="Z311" s="35"/>
      <c r="AA311" s="35"/>
      <c r="AB311" s="35"/>
      <c r="AC311" s="35"/>
      <c r="AD311" s="35"/>
      <c r="AE311" s="35"/>
      <c r="AF311" s="35"/>
      <c r="AG311" s="35"/>
      <c r="AH311" s="35"/>
      <c r="AI311" s="35"/>
      <c r="AJ311" s="35"/>
      <c r="AK311" s="35"/>
      <c r="AL311" s="35"/>
      <c r="AM311" s="35"/>
      <c r="AN311" s="36"/>
      <c r="AO311" s="36"/>
      <c r="AP311" s="36"/>
      <c r="AQ311" s="36"/>
      <c r="AR311" s="36"/>
      <c r="AS311" s="36"/>
      <c r="AT311" s="36"/>
      <c r="AU311" s="36"/>
      <c r="AV311" s="36"/>
      <c r="AW311" s="36"/>
      <c r="AX311" s="36"/>
      <c r="AY311" s="36"/>
      <c r="AZ311" s="36"/>
      <c r="BA311" s="36"/>
      <c r="BB311" s="36"/>
      <c r="BC311" s="36"/>
      <c r="BD311" s="36"/>
      <c r="BE311" s="36"/>
    </row>
    <row r="312" spans="2:57" s="30" customFormat="1" ht="15" x14ac:dyDescent="0.2">
      <c r="B312" s="132" t="s">
        <v>506</v>
      </c>
      <c r="C312" s="64"/>
      <c r="D312" s="81" t="s">
        <v>52</v>
      </c>
      <c r="G312" s="33"/>
      <c r="H312" s="81"/>
      <c r="J312" s="32" t="s">
        <v>347</v>
      </c>
      <c r="K312" s="134">
        <f>IF(ISNUMBER(L312),L312,Muut!$F$31)</f>
        <v>33.857142857142854</v>
      </c>
      <c r="L312" s="61"/>
      <c r="M312" s="40" t="s">
        <v>248</v>
      </c>
      <c r="N312" s="40"/>
      <c r="O312" s="259"/>
      <c r="Q312" s="34"/>
      <c r="R312" s="105" t="str">
        <f>IF(AND(ISNUMBER(K312),ISNUMBER(C312)),K312*C312,"")</f>
        <v/>
      </c>
      <c r="S312" s="98" t="s">
        <v>160</v>
      </c>
      <c r="T312" s="35"/>
      <c r="U312" s="35"/>
      <c r="V312" s="35"/>
      <c r="W312" s="35"/>
      <c r="X312" s="35"/>
      <c r="Y312" s="35"/>
      <c r="Z312" s="35"/>
      <c r="AA312" s="35"/>
      <c r="AB312" s="35"/>
      <c r="AC312" s="35"/>
      <c r="AD312" s="35"/>
      <c r="AE312" s="35"/>
      <c r="AF312" s="35"/>
      <c r="AG312" s="35"/>
      <c r="AH312" s="35"/>
      <c r="AI312" s="35"/>
      <c r="AJ312" s="35"/>
      <c r="AK312" s="35"/>
      <c r="AL312" s="35"/>
      <c r="AM312" s="35"/>
      <c r="AN312" s="36"/>
      <c r="AO312" s="36"/>
      <c r="AP312" s="36"/>
      <c r="AQ312" s="36"/>
      <c r="AR312" s="36"/>
      <c r="AS312" s="36"/>
      <c r="AT312" s="36"/>
      <c r="AU312" s="36"/>
      <c r="AV312" s="36"/>
      <c r="AW312" s="36"/>
      <c r="AX312" s="36"/>
      <c r="AY312" s="36"/>
      <c r="AZ312" s="36"/>
      <c r="BA312" s="36"/>
      <c r="BB312" s="36"/>
      <c r="BC312" s="36"/>
      <c r="BD312" s="36"/>
      <c r="BE312" s="36"/>
    </row>
    <row r="313" spans="2:57" s="30" customFormat="1" ht="15" x14ac:dyDescent="0.2">
      <c r="B313" s="166" t="s">
        <v>520</v>
      </c>
      <c r="C313" s="150"/>
      <c r="D313" s="81" t="str">
        <f t="shared" ref="D313:D314" si="2">IF(ISBLANK(C313),"%","")</f>
        <v>%</v>
      </c>
      <c r="E313" s="33"/>
      <c r="F313" s="33"/>
      <c r="G313" s="33"/>
      <c r="H313" s="81"/>
      <c r="J313" s="32" t="s">
        <v>508</v>
      </c>
      <c r="K313" s="92" t="str">
        <f>IF(ISNUMBER(L313),L313,"")</f>
        <v/>
      </c>
      <c r="L313" s="181"/>
      <c r="M313" s="40" t="s">
        <v>248</v>
      </c>
      <c r="N313" s="40"/>
      <c r="O313" s="259"/>
      <c r="Q313" s="34"/>
      <c r="R313" s="105" t="str">
        <f>IF(AND(ISNUMBER(K313),ISNUMBER(C313)),-K313*C313*C312,"")</f>
        <v/>
      </c>
      <c r="S313" s="98" t="s">
        <v>160</v>
      </c>
      <c r="T313" s="131" t="s">
        <v>348</v>
      </c>
      <c r="U313" s="35"/>
      <c r="V313" s="35"/>
      <c r="W313" s="35"/>
      <c r="X313" s="35"/>
      <c r="Y313" s="35"/>
      <c r="Z313" s="35"/>
      <c r="AA313" s="35"/>
      <c r="AB313" s="35"/>
      <c r="AC313" s="35"/>
      <c r="AD313" s="35"/>
      <c r="AE313" s="35"/>
      <c r="AF313" s="35"/>
      <c r="AG313" s="35"/>
      <c r="AH313" s="35"/>
      <c r="AI313" s="35"/>
      <c r="AJ313" s="35"/>
      <c r="AK313" s="35"/>
      <c r="AL313" s="35"/>
      <c r="AM313" s="35"/>
      <c r="AN313" s="36"/>
      <c r="AO313" s="36"/>
      <c r="AP313" s="36"/>
      <c r="AQ313" s="36"/>
      <c r="AR313" s="36"/>
      <c r="AS313" s="36"/>
      <c r="AT313" s="36"/>
      <c r="AU313" s="36"/>
      <c r="AV313" s="36"/>
      <c r="AW313" s="36"/>
      <c r="AX313" s="36"/>
      <c r="AY313" s="36"/>
      <c r="AZ313" s="36"/>
      <c r="BA313" s="36"/>
      <c r="BB313" s="36"/>
      <c r="BC313" s="36"/>
      <c r="BD313" s="36"/>
      <c r="BE313" s="36"/>
    </row>
    <row r="314" spans="2:57" s="30" customFormat="1" ht="15" x14ac:dyDescent="0.2">
      <c r="B314" s="166" t="s">
        <v>519</v>
      </c>
      <c r="C314" s="150"/>
      <c r="D314" s="81" t="str">
        <f t="shared" si="2"/>
        <v>%</v>
      </c>
      <c r="E314" s="33"/>
      <c r="F314" s="33"/>
      <c r="G314" s="33"/>
      <c r="H314" s="81"/>
      <c r="J314" s="32" t="s">
        <v>512</v>
      </c>
      <c r="K314" s="92" t="str">
        <f>IF(ISNUMBER(L314),L314,"")</f>
        <v/>
      </c>
      <c r="L314" s="181"/>
      <c r="M314" s="40" t="s">
        <v>248</v>
      </c>
      <c r="N314" s="40"/>
      <c r="O314" s="259"/>
      <c r="Q314" s="34"/>
      <c r="R314" s="105" t="str">
        <f>IF(AND(ISNUMBER(K314),ISNUMBER(C314)),-K314*C314*C312,"")</f>
        <v/>
      </c>
      <c r="S314" s="98" t="s">
        <v>160</v>
      </c>
      <c r="T314" s="131" t="s">
        <v>348</v>
      </c>
      <c r="U314" s="35"/>
      <c r="V314" s="35"/>
      <c r="W314" s="35"/>
      <c r="X314" s="35"/>
      <c r="Y314" s="35"/>
      <c r="Z314" s="35"/>
      <c r="AA314" s="35"/>
      <c r="AB314" s="35"/>
      <c r="AC314" s="35"/>
      <c r="AD314" s="35"/>
      <c r="AE314" s="35"/>
      <c r="AF314" s="35"/>
      <c r="AG314" s="35"/>
      <c r="AH314" s="35"/>
      <c r="AI314" s="35"/>
      <c r="AJ314" s="35"/>
      <c r="AK314" s="35"/>
      <c r="AL314" s="35"/>
      <c r="AM314" s="35"/>
      <c r="AN314" s="36"/>
      <c r="AO314" s="36"/>
      <c r="AP314" s="36"/>
      <c r="AQ314" s="36"/>
      <c r="AR314" s="36"/>
      <c r="AS314" s="36"/>
      <c r="AT314" s="36"/>
      <c r="AU314" s="36"/>
      <c r="AV314" s="36"/>
      <c r="AW314" s="36"/>
      <c r="AX314" s="36"/>
      <c r="AY314" s="36"/>
      <c r="AZ314" s="36"/>
      <c r="BA314" s="36"/>
      <c r="BB314" s="36"/>
      <c r="BC314" s="36"/>
      <c r="BD314" s="36"/>
      <c r="BE314" s="36"/>
    </row>
    <row r="315" spans="2:57" s="30" customFormat="1" ht="15" x14ac:dyDescent="0.2">
      <c r="B315" s="132" t="s">
        <v>507</v>
      </c>
      <c r="C315" s="64"/>
      <c r="D315" s="81" t="s">
        <v>52</v>
      </c>
      <c r="G315" s="33"/>
      <c r="H315" s="81"/>
      <c r="J315" s="32" t="s">
        <v>347</v>
      </c>
      <c r="K315" s="134">
        <f>IF(ISNUMBER(L315),L315,Muut!$F$31)</f>
        <v>33.857142857142854</v>
      </c>
      <c r="L315" s="61"/>
      <c r="M315" s="40" t="s">
        <v>248</v>
      </c>
      <c r="N315" s="40"/>
      <c r="O315" s="259"/>
      <c r="Q315" s="34"/>
      <c r="R315" s="105" t="str">
        <f>IF(AND(ISNUMBER(K315),ISNUMBER(C315)),K315*C315,"")</f>
        <v/>
      </c>
      <c r="S315" s="98" t="s">
        <v>160</v>
      </c>
      <c r="T315" s="35"/>
      <c r="U315" s="35"/>
      <c r="V315" s="35"/>
      <c r="W315" s="35"/>
      <c r="X315" s="35"/>
      <c r="Y315" s="35"/>
      <c r="Z315" s="35"/>
      <c r="AA315" s="35"/>
      <c r="AB315" s="35"/>
      <c r="AC315" s="35"/>
      <c r="AD315" s="35"/>
      <c r="AE315" s="35"/>
      <c r="AF315" s="35"/>
      <c r="AG315" s="35"/>
      <c r="AH315" s="35"/>
      <c r="AI315" s="35"/>
      <c r="AJ315" s="35"/>
      <c r="AK315" s="35"/>
      <c r="AL315" s="35"/>
      <c r="AM315" s="35"/>
      <c r="AN315" s="36"/>
      <c r="AO315" s="36"/>
      <c r="AP315" s="36"/>
      <c r="AQ315" s="36"/>
      <c r="AR315" s="36"/>
      <c r="AS315" s="36"/>
      <c r="AT315" s="36"/>
      <c r="AU315" s="36"/>
      <c r="AV315" s="36"/>
      <c r="AW315" s="36"/>
      <c r="AX315" s="36"/>
      <c r="AY315" s="36"/>
      <c r="AZ315" s="36"/>
      <c r="BA315" s="36"/>
      <c r="BB315" s="36"/>
      <c r="BC315" s="36"/>
      <c r="BD315" s="36"/>
      <c r="BE315" s="36"/>
    </row>
    <row r="316" spans="2:57" s="30" customFormat="1" ht="15" x14ac:dyDescent="0.2">
      <c r="B316" s="166" t="s">
        <v>520</v>
      </c>
      <c r="C316" s="150"/>
      <c r="D316" s="81" t="str">
        <f t="shared" ref="D316:D317" si="3">IF(ISBLANK(C316),"%","")</f>
        <v>%</v>
      </c>
      <c r="E316" s="33"/>
      <c r="F316" s="33"/>
      <c r="G316" s="33"/>
      <c r="H316" s="81"/>
      <c r="J316" s="32" t="s">
        <v>508</v>
      </c>
      <c r="K316" s="92" t="str">
        <f>IF(ISNUMBER(L316),L316,"")</f>
        <v/>
      </c>
      <c r="L316" s="181"/>
      <c r="M316" s="40" t="s">
        <v>248</v>
      </c>
      <c r="N316" s="40"/>
      <c r="O316" s="259"/>
      <c r="Q316" s="34"/>
      <c r="R316" s="105" t="str">
        <f>IF(AND(ISNUMBER(K316),ISNUMBER(C316)),-K316*C316*C315,"")</f>
        <v/>
      </c>
      <c r="S316" s="98" t="s">
        <v>160</v>
      </c>
      <c r="T316" s="131" t="s">
        <v>348</v>
      </c>
      <c r="U316" s="35"/>
      <c r="V316" s="35"/>
      <c r="W316" s="35"/>
      <c r="X316" s="35"/>
      <c r="Y316" s="35"/>
      <c r="Z316" s="35"/>
      <c r="AA316" s="35"/>
      <c r="AB316" s="35"/>
      <c r="AC316" s="35"/>
      <c r="AD316" s="35"/>
      <c r="AE316" s="35"/>
      <c r="AF316" s="35"/>
      <c r="AG316" s="35"/>
      <c r="AH316" s="35"/>
      <c r="AI316" s="35"/>
      <c r="AJ316" s="35"/>
      <c r="AK316" s="35"/>
      <c r="AL316" s="35"/>
      <c r="AM316" s="35"/>
      <c r="AN316" s="36"/>
      <c r="AO316" s="36"/>
      <c r="AP316" s="36"/>
      <c r="AQ316" s="36"/>
      <c r="AR316" s="36"/>
      <c r="AS316" s="36"/>
      <c r="AT316" s="36"/>
      <c r="AU316" s="36"/>
      <c r="AV316" s="36"/>
      <c r="AW316" s="36"/>
      <c r="AX316" s="36"/>
      <c r="AY316" s="36"/>
      <c r="AZ316" s="36"/>
      <c r="BA316" s="36"/>
      <c r="BB316" s="36"/>
      <c r="BC316" s="36"/>
      <c r="BD316" s="36"/>
      <c r="BE316" s="36"/>
    </row>
    <row r="317" spans="2:57" s="30" customFormat="1" ht="15" x14ac:dyDescent="0.2">
      <c r="B317" s="166" t="s">
        <v>519</v>
      </c>
      <c r="C317" s="150"/>
      <c r="D317" s="81" t="str">
        <f t="shared" si="3"/>
        <v>%</v>
      </c>
      <c r="E317" s="33"/>
      <c r="F317" s="33"/>
      <c r="G317" s="33"/>
      <c r="H317" s="81"/>
      <c r="J317" s="32" t="s">
        <v>512</v>
      </c>
      <c r="K317" s="92" t="str">
        <f>IF(ISNUMBER(L317),L317,"")</f>
        <v/>
      </c>
      <c r="L317" s="181"/>
      <c r="M317" s="40" t="s">
        <v>248</v>
      </c>
      <c r="N317" s="40"/>
      <c r="O317" s="259"/>
      <c r="Q317" s="34"/>
      <c r="R317" s="105" t="str">
        <f>IF(AND(ISNUMBER(K317),ISNUMBER(C317)),-K317*C317*C315,"")</f>
        <v/>
      </c>
      <c r="S317" s="98" t="s">
        <v>160</v>
      </c>
      <c r="T317" s="131" t="s">
        <v>348</v>
      </c>
      <c r="U317" s="35"/>
      <c r="V317" s="35"/>
      <c r="W317" s="35"/>
      <c r="X317" s="35"/>
      <c r="Y317" s="35"/>
      <c r="Z317" s="35"/>
      <c r="AA317" s="35"/>
      <c r="AB317" s="35"/>
      <c r="AC317" s="35"/>
      <c r="AD317" s="35"/>
      <c r="AE317" s="35"/>
      <c r="AF317" s="35"/>
      <c r="AG317" s="35"/>
      <c r="AH317" s="35"/>
      <c r="AI317" s="35"/>
      <c r="AJ317" s="35"/>
      <c r="AK317" s="35"/>
      <c r="AL317" s="35"/>
      <c r="AM317" s="35"/>
      <c r="AN317" s="36"/>
      <c r="AO317" s="36"/>
      <c r="AP317" s="36"/>
      <c r="AQ317" s="36"/>
      <c r="AR317" s="36"/>
      <c r="AS317" s="36"/>
      <c r="AT317" s="36"/>
      <c r="AU317" s="36"/>
      <c r="AV317" s="36"/>
      <c r="AW317" s="36"/>
      <c r="AX317" s="36"/>
      <c r="AY317" s="36"/>
      <c r="AZ317" s="36"/>
      <c r="BA317" s="36"/>
      <c r="BB317" s="36"/>
      <c r="BC317" s="36"/>
      <c r="BD317" s="36"/>
      <c r="BE317" s="36"/>
    </row>
    <row r="318" spans="2:57" s="30" customFormat="1" ht="15" x14ac:dyDescent="0.2">
      <c r="C318" s="33"/>
      <c r="D318" s="81"/>
      <c r="G318" s="33"/>
      <c r="H318" s="81"/>
      <c r="J318" s="32"/>
      <c r="K318" s="33"/>
      <c r="L318" s="33"/>
      <c r="M318" s="81"/>
      <c r="N318" s="81"/>
      <c r="O318" s="96"/>
      <c r="Q318" s="34"/>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6"/>
      <c r="AO318" s="36"/>
      <c r="AP318" s="36"/>
      <c r="AQ318" s="36"/>
      <c r="AR318" s="36"/>
      <c r="AS318" s="36"/>
      <c r="AT318" s="36"/>
      <c r="AU318" s="36"/>
      <c r="AV318" s="36"/>
      <c r="AW318" s="36"/>
      <c r="AX318" s="36"/>
      <c r="AY318" s="36"/>
      <c r="AZ318" s="36"/>
      <c r="BA318" s="36"/>
      <c r="BB318" s="36"/>
      <c r="BC318" s="36"/>
      <c r="BD318" s="36"/>
      <c r="BE318" s="36"/>
    </row>
    <row r="319" spans="2:57" s="30" customFormat="1" ht="15.75" x14ac:dyDescent="0.2">
      <c r="B319" s="8" t="s">
        <v>11</v>
      </c>
      <c r="C319" s="33"/>
      <c r="D319" s="81"/>
      <c r="G319" s="33"/>
      <c r="H319" s="81"/>
      <c r="J319" s="32"/>
      <c r="K319" s="37"/>
      <c r="L319" s="37"/>
      <c r="M319" s="81"/>
      <c r="N319" s="81"/>
      <c r="O319" s="96"/>
      <c r="Q319" s="34"/>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6"/>
      <c r="AO319" s="36"/>
      <c r="AP319" s="36"/>
      <c r="AQ319" s="36"/>
      <c r="AR319" s="36"/>
      <c r="AS319" s="36"/>
      <c r="AT319" s="36"/>
      <c r="AU319" s="36"/>
      <c r="AV319" s="36"/>
      <c r="AW319" s="36"/>
      <c r="AX319" s="36"/>
      <c r="AY319" s="36"/>
      <c r="AZ319" s="36"/>
      <c r="BA319" s="36"/>
      <c r="BB319" s="36"/>
      <c r="BC319" s="36"/>
      <c r="BD319" s="36"/>
      <c r="BE319" s="36"/>
    </row>
    <row r="320" spans="2:57" s="30" customFormat="1" ht="15.75" x14ac:dyDescent="0.2">
      <c r="B320" s="8"/>
      <c r="C320" s="33"/>
      <c r="D320" s="81"/>
      <c r="G320" s="33"/>
      <c r="H320" s="81"/>
      <c r="J320" s="32"/>
      <c r="K320" s="37" t="s">
        <v>297</v>
      </c>
      <c r="L320" s="37" t="s">
        <v>185</v>
      </c>
      <c r="M320" s="81"/>
      <c r="N320" s="81"/>
      <c r="O320" s="96"/>
      <c r="Q320" s="34"/>
      <c r="R320" s="35" t="s">
        <v>318</v>
      </c>
      <c r="S320" s="35"/>
      <c r="T320" s="35"/>
      <c r="U320" s="35"/>
      <c r="V320" s="35"/>
      <c r="W320" s="35"/>
      <c r="X320" s="35"/>
      <c r="Y320" s="35"/>
      <c r="Z320" s="35"/>
      <c r="AA320" s="35"/>
      <c r="AB320" s="35"/>
      <c r="AC320" s="35"/>
      <c r="AD320" s="35"/>
      <c r="AE320" s="35"/>
      <c r="AF320" s="35"/>
      <c r="AG320" s="35"/>
      <c r="AH320" s="35"/>
      <c r="AI320" s="35"/>
      <c r="AJ320" s="35"/>
      <c r="AK320" s="35"/>
      <c r="AL320" s="35"/>
      <c r="AM320" s="35"/>
      <c r="AN320" s="36"/>
      <c r="AO320" s="36"/>
      <c r="AP320" s="36"/>
      <c r="AQ320" s="36"/>
      <c r="AR320" s="36"/>
      <c r="AS320" s="36"/>
      <c r="AT320" s="36"/>
      <c r="AU320" s="36"/>
      <c r="AV320" s="36"/>
      <c r="AW320" s="36"/>
      <c r="AX320" s="36"/>
      <c r="AY320" s="36"/>
      <c r="AZ320" s="36"/>
      <c r="BA320" s="36"/>
      <c r="BB320" s="36"/>
      <c r="BC320" s="36"/>
      <c r="BD320" s="36"/>
      <c r="BE320" s="36"/>
    </row>
    <row r="321" spans="2:59" s="30" customFormat="1" ht="30" x14ac:dyDescent="0.2">
      <c r="B321" s="76" t="s">
        <v>466</v>
      </c>
      <c r="C321" s="156"/>
      <c r="D321" s="81" t="s">
        <v>163</v>
      </c>
      <c r="G321" s="33"/>
      <c r="H321" s="81"/>
      <c r="J321" s="32" t="s">
        <v>513</v>
      </c>
      <c r="K321" s="92">
        <f>IF(ISNUMBER(L321),L321,Muut!$F$29*IF(OR(C322=Pudotusvalikot!$V$3,C322=Pudotusvalikot!$V$4),Muut!$E$40,IF(C322=Pudotusvalikot!$V$5,Muut!$E$41,IF(C322=Pudotusvalikot!$V$6,Muut!$E$42,Muut!$E$43))))</f>
        <v>0.22753333333333334</v>
      </c>
      <c r="L321" s="61"/>
      <c r="M321" s="40" t="s">
        <v>207</v>
      </c>
      <c r="N321" s="40"/>
      <c r="O321" s="259"/>
      <c r="Q321" s="34"/>
      <c r="R321" s="105" t="str">
        <f>IF(AND(ISNUMBER(K321),ISNUMBER(C321)),K321*C321,"")</f>
        <v/>
      </c>
      <c r="S321" s="98" t="s">
        <v>160</v>
      </c>
      <c r="T321" s="59"/>
      <c r="U321" s="59"/>
      <c r="V321" s="59"/>
      <c r="W321" s="35"/>
      <c r="X321" s="35"/>
      <c r="Y321" s="35"/>
      <c r="Z321" s="35"/>
      <c r="AA321" s="35"/>
      <c r="AB321" s="35"/>
      <c r="AC321" s="35"/>
      <c r="AD321" s="35"/>
      <c r="AE321" s="35"/>
      <c r="AF321" s="35"/>
      <c r="AG321" s="35"/>
      <c r="AH321" s="35"/>
      <c r="AI321" s="35"/>
      <c r="AJ321" s="35"/>
      <c r="AK321" s="35"/>
      <c r="AL321" s="35"/>
      <c r="AM321" s="35"/>
      <c r="AN321" s="36"/>
      <c r="AO321" s="36"/>
      <c r="AP321" s="36"/>
      <c r="AQ321" s="36"/>
      <c r="AR321" s="36"/>
      <c r="AS321" s="36"/>
      <c r="AT321" s="36"/>
      <c r="AU321" s="36"/>
      <c r="AV321" s="36"/>
      <c r="AW321" s="36"/>
      <c r="AX321" s="36"/>
      <c r="AY321" s="36"/>
      <c r="AZ321" s="36"/>
      <c r="BA321" s="36"/>
      <c r="BB321" s="36"/>
      <c r="BC321" s="36"/>
      <c r="BD321" s="36"/>
      <c r="BE321" s="36"/>
    </row>
    <row r="322" spans="2:59" s="30" customFormat="1" ht="15" x14ac:dyDescent="0.2">
      <c r="B322" s="166" t="s">
        <v>460</v>
      </c>
      <c r="C322" s="156" t="s">
        <v>223</v>
      </c>
      <c r="D322" s="33"/>
      <c r="E322" s="33"/>
      <c r="F322" s="33"/>
      <c r="G322" s="33"/>
      <c r="H322" s="57"/>
      <c r="J322" s="169"/>
      <c r="K322" s="169"/>
      <c r="L322" s="169"/>
      <c r="M322" s="40"/>
      <c r="N322" s="40"/>
      <c r="O322" s="259"/>
      <c r="Q322" s="45"/>
      <c r="R322" s="59"/>
      <c r="S322" s="98"/>
      <c r="T322" s="35"/>
      <c r="U322" s="35"/>
      <c r="V322" s="177"/>
      <c r="W322" s="177"/>
      <c r="X322" s="59"/>
      <c r="Y322" s="35"/>
      <c r="Z322" s="59"/>
      <c r="AA322" s="178"/>
      <c r="AB322" s="59"/>
      <c r="AC322" s="59"/>
      <c r="AD322" s="59"/>
      <c r="AE322" s="59"/>
      <c r="AF322" s="178"/>
      <c r="AG322" s="59"/>
      <c r="AH322" s="35"/>
      <c r="AI322" s="35"/>
      <c r="AJ322" s="35"/>
      <c r="AK322" s="104"/>
      <c r="AL322" s="35"/>
      <c r="AM322" s="35"/>
      <c r="AN322" s="36"/>
      <c r="AO322" s="36"/>
      <c r="AP322" s="36"/>
      <c r="AQ322" s="36"/>
      <c r="AR322" s="36"/>
      <c r="AS322" s="36"/>
      <c r="AT322" s="36"/>
      <c r="AU322" s="36"/>
      <c r="AV322" s="36"/>
      <c r="AW322" s="36"/>
      <c r="AX322" s="36"/>
      <c r="AY322" s="36"/>
      <c r="AZ322" s="36"/>
      <c r="BA322" s="36"/>
      <c r="BB322" s="36"/>
      <c r="BC322" s="36"/>
      <c r="BD322" s="36"/>
      <c r="BE322" s="36"/>
    </row>
    <row r="323" spans="2:59" s="30" customFormat="1" ht="45" x14ac:dyDescent="0.2">
      <c r="B323" s="76" t="s">
        <v>544</v>
      </c>
      <c r="C323" s="156"/>
      <c r="D323" s="81" t="s">
        <v>163</v>
      </c>
      <c r="G323" s="33"/>
      <c r="H323" s="81"/>
      <c r="J323" s="32" t="s">
        <v>471</v>
      </c>
      <c r="K323" s="134">
        <f>IF(ISNUMBER(L323),L323,Muut!$F$30)</f>
        <v>9.4500000000000011</v>
      </c>
      <c r="L323" s="181"/>
      <c r="M323" s="40" t="s">
        <v>207</v>
      </c>
      <c r="N323" s="40"/>
      <c r="O323" s="259"/>
      <c r="Q323" s="34"/>
      <c r="R323" s="105" t="str">
        <f>IF(AND(ISNUMBER(K323),ISNUMBER(C323)),K323*C323,"")</f>
        <v/>
      </c>
      <c r="S323" s="98" t="s">
        <v>160</v>
      </c>
      <c r="T323" s="35"/>
      <c r="U323" s="35"/>
      <c r="V323" s="35"/>
      <c r="W323" s="35"/>
      <c r="X323" s="35"/>
      <c r="Y323" s="35"/>
      <c r="Z323" s="35"/>
      <c r="AA323" s="35"/>
      <c r="AB323" s="35"/>
      <c r="AC323" s="35"/>
      <c r="AD323" s="35"/>
      <c r="AE323" s="35"/>
      <c r="AF323" s="35"/>
      <c r="AG323" s="35"/>
      <c r="AH323" s="35"/>
      <c r="AI323" s="35"/>
      <c r="AJ323" s="35"/>
      <c r="AK323" s="35"/>
      <c r="AL323" s="35"/>
      <c r="AM323" s="35"/>
      <c r="AN323" s="36"/>
      <c r="AO323" s="36"/>
      <c r="AP323" s="36"/>
      <c r="AQ323" s="36"/>
      <c r="AR323" s="36"/>
      <c r="AS323" s="36"/>
      <c r="AT323" s="36"/>
      <c r="AU323" s="36"/>
      <c r="AV323" s="36"/>
      <c r="AW323" s="36"/>
      <c r="AX323" s="36"/>
      <c r="AY323" s="36"/>
      <c r="AZ323" s="36"/>
      <c r="BA323" s="36"/>
      <c r="BB323" s="36"/>
      <c r="BC323" s="36"/>
      <c r="BD323" s="36"/>
      <c r="BE323" s="36"/>
    </row>
    <row r="324" spans="2:59" s="30" customFormat="1" ht="15" x14ac:dyDescent="0.2">
      <c r="B324" s="166" t="s">
        <v>520</v>
      </c>
      <c r="C324" s="156"/>
      <c r="D324" s="81" t="s">
        <v>8</v>
      </c>
      <c r="E324" s="33"/>
      <c r="F324" s="33"/>
      <c r="G324" s="33"/>
      <c r="H324" s="81"/>
      <c r="J324" s="32" t="s">
        <v>472</v>
      </c>
      <c r="K324" s="108">
        <f>IF(ISNUMBER(L324),L324,Muut!$F$32)</f>
        <v>9.4500000000000011</v>
      </c>
      <c r="L324" s="181"/>
      <c r="M324" s="40" t="s">
        <v>207</v>
      </c>
      <c r="N324" s="40"/>
      <c r="O324" s="259"/>
      <c r="Q324" s="34"/>
      <c r="R324" s="105" t="str">
        <f>IF(AND(ISNUMBER(K324),ISNUMBER(C323)),-K324*C323,"")</f>
        <v/>
      </c>
      <c r="S324" s="98" t="s">
        <v>160</v>
      </c>
      <c r="T324" s="98" t="s">
        <v>473</v>
      </c>
      <c r="U324" s="35"/>
      <c r="V324" s="35"/>
      <c r="W324" s="35"/>
      <c r="X324" s="35"/>
      <c r="Y324" s="35"/>
      <c r="Z324" s="35"/>
      <c r="AA324" s="35"/>
      <c r="AB324" s="35"/>
      <c r="AC324" s="35"/>
      <c r="AD324" s="35"/>
      <c r="AE324" s="35"/>
      <c r="AF324" s="35"/>
      <c r="AG324" s="35"/>
      <c r="AH324" s="35"/>
      <c r="AI324" s="35"/>
      <c r="AJ324" s="35"/>
      <c r="AK324" s="35"/>
      <c r="AL324" s="35"/>
      <c r="AM324" s="35"/>
      <c r="AN324" s="36"/>
      <c r="AO324" s="36"/>
      <c r="AP324" s="36"/>
      <c r="AQ324" s="36"/>
      <c r="AR324" s="36"/>
      <c r="AS324" s="36"/>
      <c r="AT324" s="36"/>
      <c r="AU324" s="36"/>
      <c r="AV324" s="36"/>
      <c r="AW324" s="36"/>
      <c r="AX324" s="36"/>
      <c r="AY324" s="36"/>
      <c r="AZ324" s="36"/>
      <c r="BA324" s="36"/>
      <c r="BB324" s="36"/>
      <c r="BC324" s="36"/>
      <c r="BD324" s="36"/>
      <c r="BE324" s="36"/>
    </row>
    <row r="325" spans="2:59" s="30" customFormat="1" ht="15" x14ac:dyDescent="0.2">
      <c r="B325" s="33"/>
      <c r="C325" s="33"/>
      <c r="D325" s="33"/>
      <c r="E325" s="33"/>
      <c r="F325" s="33"/>
      <c r="G325" s="33"/>
      <c r="H325" s="81"/>
      <c r="J325" s="32"/>
      <c r="K325" s="41"/>
      <c r="L325" s="41"/>
      <c r="M325" s="40"/>
      <c r="N325" s="40"/>
      <c r="O325" s="40"/>
      <c r="Q325" s="34"/>
      <c r="R325" s="59"/>
      <c r="S325" s="98"/>
      <c r="T325" s="131"/>
      <c r="U325" s="35"/>
      <c r="V325" s="35"/>
      <c r="W325" s="35"/>
      <c r="X325" s="35"/>
      <c r="Y325" s="35"/>
      <c r="Z325" s="35"/>
      <c r="AA325" s="35"/>
      <c r="AB325" s="35"/>
      <c r="AC325" s="35"/>
      <c r="AD325" s="35"/>
      <c r="AE325" s="35"/>
      <c r="AF325" s="35"/>
      <c r="AG325" s="35"/>
      <c r="AH325" s="35"/>
      <c r="AI325" s="35"/>
      <c r="AJ325" s="35"/>
      <c r="AK325" s="35"/>
      <c r="AL325" s="35"/>
      <c r="AM325" s="35"/>
      <c r="AN325" s="36"/>
      <c r="AO325" s="36"/>
      <c r="AP325" s="36"/>
      <c r="AQ325" s="36"/>
      <c r="AR325" s="36"/>
      <c r="AS325" s="36"/>
      <c r="AT325" s="36"/>
      <c r="AU325" s="36"/>
      <c r="AV325" s="36"/>
      <c r="AW325" s="36"/>
      <c r="AX325" s="36"/>
      <c r="AY325" s="36"/>
      <c r="AZ325" s="36"/>
      <c r="BA325" s="36"/>
      <c r="BB325" s="36"/>
      <c r="BC325" s="36"/>
      <c r="BD325" s="36"/>
      <c r="BE325" s="36"/>
      <c r="BF325" s="104"/>
      <c r="BG325" s="104"/>
    </row>
    <row r="326" spans="2:59" s="192" customFormat="1" ht="23.25" x14ac:dyDescent="0.2">
      <c r="B326" s="193" t="s">
        <v>558</v>
      </c>
      <c r="C326" s="194"/>
      <c r="D326" s="195"/>
      <c r="G326" s="194"/>
      <c r="H326" s="195"/>
      <c r="J326" s="196"/>
      <c r="P326" s="197"/>
      <c r="Q326" s="198"/>
      <c r="R326" s="199"/>
      <c r="S326" s="198"/>
      <c r="T326" s="200"/>
      <c r="U326" s="201"/>
      <c r="V326" s="201"/>
      <c r="W326" s="201"/>
      <c r="X326" s="201"/>
      <c r="Y326" s="201"/>
      <c r="Z326" s="201"/>
      <c r="AA326" s="201"/>
      <c r="AB326" s="201"/>
      <c r="AC326" s="201"/>
      <c r="AD326" s="201"/>
      <c r="AE326" s="201"/>
      <c r="AF326" s="201"/>
      <c r="AG326" s="201"/>
      <c r="AH326" s="201"/>
      <c r="AI326" s="201"/>
      <c r="AJ326" s="201"/>
      <c r="AK326" s="201"/>
      <c r="AL326" s="201"/>
      <c r="AM326" s="201"/>
      <c r="AN326" s="201"/>
      <c r="AO326" s="201"/>
      <c r="AP326" s="200"/>
      <c r="AQ326" s="200"/>
      <c r="AR326" s="200"/>
      <c r="AS326" s="200"/>
      <c r="AT326" s="200"/>
      <c r="AU326" s="200"/>
      <c r="AV326" s="200"/>
      <c r="AW326" s="200"/>
      <c r="AX326" s="200"/>
      <c r="AY326" s="200"/>
      <c r="AZ326" s="200"/>
      <c r="BA326" s="200"/>
      <c r="BB326" s="200"/>
      <c r="BC326" s="200"/>
      <c r="BD326" s="200"/>
      <c r="BE326" s="200"/>
      <c r="BF326" s="200"/>
      <c r="BG326" s="200"/>
    </row>
    <row r="327" spans="2:59" s="30" customFormat="1" ht="15" x14ac:dyDescent="0.2">
      <c r="B327" s="33"/>
      <c r="C327" s="33"/>
      <c r="D327" s="33"/>
      <c r="E327" s="33"/>
      <c r="F327" s="33"/>
      <c r="G327" s="33"/>
      <c r="H327" s="81"/>
      <c r="J327" s="32"/>
      <c r="K327" s="41"/>
      <c r="L327" s="41"/>
      <c r="M327" s="40"/>
      <c r="N327" s="40"/>
      <c r="O327" s="40"/>
      <c r="Q327" s="34"/>
      <c r="R327" s="59"/>
      <c r="S327" s="98"/>
      <c r="T327" s="131"/>
      <c r="U327" s="35"/>
      <c r="V327" s="35"/>
      <c r="W327" s="35"/>
      <c r="X327" s="35"/>
      <c r="Y327" s="35"/>
      <c r="Z327" s="35"/>
      <c r="AA327" s="35"/>
      <c r="AB327" s="35"/>
      <c r="AC327" s="35"/>
      <c r="AD327" s="35"/>
      <c r="AE327" s="35"/>
      <c r="AF327" s="35"/>
      <c r="AG327" s="35"/>
      <c r="AH327" s="35"/>
      <c r="AI327" s="35"/>
      <c r="AJ327" s="35"/>
      <c r="AK327" s="35"/>
      <c r="AL327" s="35"/>
      <c r="AM327" s="35"/>
      <c r="AN327" s="36"/>
      <c r="AO327" s="36"/>
      <c r="AP327" s="36"/>
      <c r="AQ327" s="36"/>
      <c r="AR327" s="36"/>
      <c r="AS327" s="36"/>
      <c r="AT327" s="36"/>
      <c r="AU327" s="36"/>
      <c r="AV327" s="36"/>
      <c r="AW327" s="36"/>
      <c r="AX327" s="36"/>
      <c r="AY327" s="36"/>
      <c r="AZ327" s="36"/>
      <c r="BA327" s="36"/>
      <c r="BB327" s="36"/>
      <c r="BC327" s="36"/>
      <c r="BD327" s="36"/>
      <c r="BE327" s="36"/>
      <c r="BF327" s="104"/>
      <c r="BG327" s="104"/>
    </row>
    <row r="328" spans="2:59" s="289" customFormat="1" ht="18" x14ac:dyDescent="0.2">
      <c r="B328" s="286" t="s">
        <v>42</v>
      </c>
      <c r="C328" s="287"/>
      <c r="D328" s="288"/>
      <c r="G328" s="287"/>
      <c r="H328" s="288"/>
      <c r="K328" s="287"/>
      <c r="L328" s="287"/>
      <c r="M328" s="288"/>
      <c r="N328" s="288"/>
      <c r="O328" s="291"/>
      <c r="P328" s="311"/>
      <c r="Q328" s="295"/>
      <c r="R328" s="289" t="str">
        <f>IF(OR(ISNUMBER(#REF!),ISNUMBER(#REF!),ISNUMBER(#REF!)),SUM(#REF!,#REF!,#REF!),"")</f>
        <v/>
      </c>
      <c r="S328" s="294"/>
      <c r="T328" s="294"/>
      <c r="U328" s="294"/>
      <c r="V328" s="294"/>
      <c r="W328" s="294"/>
      <c r="X328" s="294"/>
      <c r="Y328" s="294"/>
      <c r="Z328" s="294"/>
      <c r="AA328" s="294"/>
      <c r="AB328" s="294"/>
      <c r="AC328" s="294"/>
      <c r="AD328" s="294"/>
      <c r="AE328" s="294"/>
      <c r="AF328" s="294"/>
      <c r="AG328" s="294"/>
      <c r="AH328" s="294"/>
      <c r="AI328" s="294"/>
      <c r="AJ328" s="294"/>
      <c r="AK328" s="294"/>
      <c r="AL328" s="294"/>
      <c r="AM328" s="294"/>
      <c r="AN328" s="295"/>
      <c r="AO328" s="295"/>
      <c r="AP328" s="295"/>
      <c r="AQ328" s="295"/>
      <c r="AR328" s="295"/>
      <c r="AS328" s="295"/>
      <c r="AT328" s="295"/>
      <c r="AU328" s="295"/>
      <c r="AV328" s="295"/>
      <c r="AW328" s="295"/>
      <c r="AX328" s="295"/>
      <c r="AY328" s="295"/>
      <c r="AZ328" s="295"/>
      <c r="BA328" s="295"/>
      <c r="BB328" s="295"/>
      <c r="BC328" s="295"/>
      <c r="BD328" s="295"/>
      <c r="BE328" s="295"/>
    </row>
    <row r="329" spans="2:59" ht="13.9" customHeight="1" x14ac:dyDescent="0.2">
      <c r="O329" s="249" t="s">
        <v>584</v>
      </c>
    </row>
    <row r="330" spans="2:59" s="30" customFormat="1" ht="15.75" x14ac:dyDescent="0.2">
      <c r="B330" s="8"/>
      <c r="C330" s="33"/>
      <c r="D330" s="81"/>
      <c r="G330" s="33" t="s">
        <v>43</v>
      </c>
      <c r="H330" s="81"/>
      <c r="K330" s="37" t="s">
        <v>297</v>
      </c>
      <c r="L330" s="37" t="s">
        <v>185</v>
      </c>
      <c r="M330" s="81"/>
      <c r="N330" s="81"/>
      <c r="O330" s="250"/>
      <c r="Q330" s="34"/>
      <c r="R330" s="35" t="s">
        <v>318</v>
      </c>
      <c r="S330" s="35"/>
      <c r="T330" s="35" t="s">
        <v>238</v>
      </c>
      <c r="U330" s="35" t="s">
        <v>239</v>
      </c>
      <c r="V330" s="35" t="s">
        <v>240</v>
      </c>
      <c r="W330" s="35" t="s">
        <v>243</v>
      </c>
      <c r="X330" s="35" t="s">
        <v>241</v>
      </c>
      <c r="Y330" s="35" t="s">
        <v>242</v>
      </c>
      <c r="Z330" s="35" t="s">
        <v>244</v>
      </c>
      <c r="AA330" s="104"/>
      <c r="AB330" s="35"/>
      <c r="AC330" s="35"/>
      <c r="AD330" s="35"/>
      <c r="AE330" s="35"/>
      <c r="AF330" s="35"/>
      <c r="AG330" s="35"/>
      <c r="AH330" s="35"/>
      <c r="AI330" s="35"/>
      <c r="AJ330" s="35"/>
      <c r="AK330" s="35"/>
      <c r="AL330" s="35"/>
      <c r="AM330" s="35"/>
      <c r="AN330" s="36"/>
      <c r="AO330" s="36"/>
      <c r="AP330" s="36"/>
      <c r="AQ330" s="36"/>
      <c r="AR330" s="36"/>
      <c r="AS330" s="36"/>
      <c r="AT330" s="36"/>
      <c r="AU330" s="36"/>
      <c r="AV330" s="36"/>
      <c r="AW330" s="36"/>
      <c r="AX330" s="36"/>
      <c r="AY330" s="36"/>
      <c r="AZ330" s="36"/>
      <c r="BA330" s="36"/>
      <c r="BB330" s="36"/>
      <c r="BC330" s="36"/>
      <c r="BD330" s="36"/>
      <c r="BE330" s="36"/>
    </row>
    <row r="331" spans="2:59" s="30" customFormat="1" ht="15" x14ac:dyDescent="0.2">
      <c r="B331" s="52" t="s">
        <v>526</v>
      </c>
      <c r="C331" s="156"/>
      <c r="D331" s="81" t="s">
        <v>215</v>
      </c>
      <c r="G331" s="156"/>
      <c r="H331" s="81" t="s">
        <v>44</v>
      </c>
      <c r="J331" s="32" t="s">
        <v>514</v>
      </c>
      <c r="K331" s="108" t="str">
        <f>IFERROR(IF(ISNUMBER(L331),L331,VLOOKUP(C333,Kalusto!$C$100:$E$105,3,FALSE)),"--")</f>
        <v>--</v>
      </c>
      <c r="L331" s="61"/>
      <c r="M331" s="75" t="str">
        <f>IF(C333=Pudotusvalikot!$J$9,"kWh/100 km",IF(C333=Pudotusvalikot!$J$6,"kg/100 km","l/100 km"))</f>
        <v>l/100 km</v>
      </c>
      <c r="N331" s="75"/>
      <c r="O331" s="263"/>
      <c r="Q331" s="34"/>
      <c r="R331" s="105">
        <f>SUM(U331:Z331)</f>
        <v>0</v>
      </c>
      <c r="S331" s="98" t="s">
        <v>160</v>
      </c>
      <c r="T331" s="46">
        <f>IF(ISNUMBER(C332*C331*G331),C332*C331*G331,"")</f>
        <v>0</v>
      </c>
      <c r="U331" s="48">
        <f>IF(ISNUMBER(T331),IF(C333=Pudotusvalikot!$J$5,(Muut!$F$16+Muut!$F$19)*(T331*K331/100),0),"")</f>
        <v>0</v>
      </c>
      <c r="V331" s="48">
        <f>IF(ISNUMBER(T331),IF(C333=Pudotusvalikot!$J$4,(Muut!$F$15+Muut!$F$18)*(T331*K331/100),0),"")</f>
        <v>0</v>
      </c>
      <c r="W331" s="48">
        <f>IF(ISNUMBER(T331),IF(C333=Pudotusvalikot!$J$6,(Muut!$F$17+Muut!$F$20)*(T331*K331/100),0),"")</f>
        <v>0</v>
      </c>
      <c r="X331" s="48">
        <f>IF(ISNUMBER(T331),IF(C333=Pudotusvalikot!$J$7,((Muut!$F$16+Muut!$F$19)*(100%-Kalusto!$O$103)+(Muut!$F$15+Muut!$F$18)*Kalusto!$O$103)*(T331*K331/100),0),"")</f>
        <v>0</v>
      </c>
      <c r="Y331" s="72">
        <f>IF(ISNUMBER(T331),IF(C333=Pudotusvalikot!$J$8,((Kalusto!$K$104)*(100%-Kalusto!$O$104)+(Kalusto!$M$104)*Kalusto!$O$104)*(Muut!$F$14+Muut!$F$13)/100*T331/1000+((Kalusto!$G$104)*(100%-Kalusto!$O$104)+(Kalusto!$I$104)*Kalusto!$O$104)*(K331+Muut!$F$19)/100*T331,0),"")</f>
        <v>0</v>
      </c>
      <c r="Z331" s="72">
        <f>IF(ISNUMBER(T331),IF(C333=Pudotusvalikot!$J$9,Kalusto!$E$105*(K331+Muut!$F$13)/100*T331/1000,0),"")</f>
        <v>0</v>
      </c>
      <c r="AA331" s="104"/>
      <c r="AB331" s="35"/>
      <c r="AC331" s="35"/>
      <c r="AD331" s="35"/>
      <c r="AE331" s="35"/>
      <c r="AF331" s="35"/>
      <c r="AG331" s="35"/>
      <c r="AH331" s="35"/>
      <c r="AI331" s="35"/>
      <c r="AJ331" s="35"/>
      <c r="AK331" s="35"/>
      <c r="AL331" s="35"/>
      <c r="AM331" s="35"/>
      <c r="AN331" s="36"/>
      <c r="AO331" s="36"/>
      <c r="AP331" s="36"/>
      <c r="AQ331" s="36"/>
      <c r="AR331" s="36"/>
      <c r="AS331" s="36"/>
      <c r="AT331" s="36"/>
      <c r="AU331" s="36"/>
      <c r="AV331" s="36"/>
      <c r="AW331" s="36"/>
      <c r="AX331" s="36"/>
      <c r="AY331" s="36"/>
      <c r="AZ331" s="36"/>
      <c r="BA331" s="36"/>
      <c r="BB331" s="36"/>
      <c r="BC331" s="36"/>
      <c r="BD331" s="36"/>
      <c r="BE331" s="36"/>
    </row>
    <row r="332" spans="2:59" s="30" customFormat="1" ht="15" x14ac:dyDescent="0.2">
      <c r="B332" s="52" t="s">
        <v>525</v>
      </c>
      <c r="C332" s="157"/>
      <c r="D332" s="81" t="s">
        <v>5</v>
      </c>
      <c r="G332" s="33"/>
      <c r="H332" s="81"/>
      <c r="J332" s="32"/>
      <c r="K332" s="33"/>
      <c r="L332" s="33"/>
      <c r="M332" s="81"/>
      <c r="N332" s="81"/>
      <c r="O332" s="96"/>
      <c r="Q332" s="34"/>
      <c r="R332" s="95"/>
      <c r="S332" s="35"/>
      <c r="T332" s="35"/>
      <c r="U332" s="35"/>
      <c r="V332" s="35"/>
      <c r="W332" s="35"/>
      <c r="X332" s="35"/>
      <c r="Y332" s="35"/>
      <c r="Z332" s="35"/>
      <c r="AA332" s="35"/>
      <c r="AB332" s="35"/>
      <c r="AC332" s="35"/>
      <c r="AD332" s="35"/>
      <c r="AE332" s="35"/>
      <c r="AF332" s="35"/>
      <c r="AG332" s="35"/>
      <c r="AH332" s="35"/>
      <c r="AI332" s="35"/>
      <c r="AJ332" s="35"/>
      <c r="AK332" s="35"/>
      <c r="AL332" s="35"/>
      <c r="AM332" s="35"/>
      <c r="AN332" s="36"/>
      <c r="AO332" s="36"/>
      <c r="AP332" s="36"/>
      <c r="AQ332" s="36"/>
      <c r="AR332" s="36"/>
      <c r="AS332" s="36"/>
      <c r="AT332" s="36"/>
      <c r="AU332" s="36"/>
      <c r="AV332" s="36"/>
      <c r="AW332" s="36"/>
      <c r="AX332" s="36"/>
      <c r="AY332" s="36"/>
      <c r="AZ332" s="36"/>
      <c r="BA332" s="36"/>
      <c r="BB332" s="36"/>
      <c r="BC332" s="36"/>
      <c r="BD332" s="36"/>
      <c r="BE332" s="36"/>
    </row>
    <row r="333" spans="2:59" s="30" customFormat="1" ht="15" x14ac:dyDescent="0.2">
      <c r="B333" s="52" t="s">
        <v>524</v>
      </c>
      <c r="C333" s="474" t="s">
        <v>309</v>
      </c>
      <c r="D333" s="474"/>
      <c r="G333" s="33"/>
      <c r="H333" s="81"/>
      <c r="J333" s="32"/>
      <c r="K333" s="33"/>
      <c r="L333" s="33"/>
      <c r="M333" s="81"/>
      <c r="N333" s="81"/>
      <c r="O333" s="81"/>
      <c r="Q333" s="34"/>
      <c r="R333" s="95"/>
      <c r="S333" s="35"/>
      <c r="T333" s="35"/>
      <c r="U333" s="35"/>
      <c r="V333" s="35"/>
      <c r="W333" s="35"/>
      <c r="X333" s="35"/>
      <c r="Y333" s="35"/>
      <c r="Z333" s="35"/>
      <c r="AA333" s="35"/>
      <c r="AB333" s="35"/>
      <c r="AC333" s="35"/>
      <c r="AD333" s="35"/>
      <c r="AE333" s="35"/>
      <c r="AF333" s="35"/>
      <c r="AG333" s="35"/>
      <c r="AH333" s="35"/>
      <c r="AI333" s="35"/>
      <c r="AJ333" s="35"/>
      <c r="AK333" s="35"/>
      <c r="AL333" s="35"/>
      <c r="AM333" s="35"/>
      <c r="AN333" s="36"/>
      <c r="AO333" s="36"/>
      <c r="AP333" s="36"/>
      <c r="AQ333" s="36"/>
      <c r="AR333" s="36"/>
      <c r="AS333" s="36"/>
      <c r="AT333" s="36"/>
      <c r="AU333" s="36"/>
      <c r="AV333" s="36"/>
      <c r="AW333" s="36"/>
      <c r="AX333" s="36"/>
      <c r="AY333" s="36"/>
      <c r="AZ333" s="36"/>
      <c r="BA333" s="36"/>
      <c r="BB333" s="36"/>
      <c r="BC333" s="36"/>
      <c r="BD333" s="36"/>
      <c r="BE333" s="36"/>
    </row>
    <row r="335" spans="2:59" ht="13.9" hidden="1" customHeight="1" x14ac:dyDescent="0.2"/>
    <row r="336" spans="2:59" ht="13.9" hidden="1" customHeight="1" x14ac:dyDescent="0.2"/>
    <row r="337" ht="13.9" hidden="1" customHeight="1" x14ac:dyDescent="0.2"/>
    <row r="338" ht="13.9" hidden="1" customHeight="1" x14ac:dyDescent="0.2"/>
    <row r="339" ht="13.9" hidden="1" customHeight="1" x14ac:dyDescent="0.2"/>
    <row r="340" ht="13.9" hidden="1" customHeight="1" x14ac:dyDescent="0.2"/>
    <row r="341" ht="13.9" hidden="1" customHeight="1" x14ac:dyDescent="0.2"/>
    <row r="342" ht="13.9" hidden="1" customHeight="1" x14ac:dyDescent="0.2"/>
    <row r="343" ht="13.9" hidden="1" customHeight="1" x14ac:dyDescent="0.2"/>
    <row r="344" ht="13.9" hidden="1" customHeight="1" x14ac:dyDescent="0.2"/>
    <row r="345" ht="13.9" hidden="1" customHeight="1" x14ac:dyDescent="0.2"/>
    <row r="346" ht="13.9" hidden="1" customHeight="1" x14ac:dyDescent="0.2"/>
    <row r="347" ht="13.9" hidden="1" customHeight="1" x14ac:dyDescent="0.2"/>
    <row r="348" ht="13.9" hidden="1" customHeight="1" x14ac:dyDescent="0.2"/>
    <row r="349" ht="13.9" hidden="1" customHeight="1" x14ac:dyDescent="0.2"/>
    <row r="350" ht="13.9" hidden="1" customHeight="1" x14ac:dyDescent="0.2"/>
    <row r="351" ht="13.9" hidden="1" customHeight="1" x14ac:dyDescent="0.2"/>
    <row r="352" ht="13.9" hidden="1" customHeight="1" x14ac:dyDescent="0.2"/>
    <row r="353" ht="13.9" hidden="1" customHeight="1" x14ac:dyDescent="0.2"/>
    <row r="354" ht="13.9" hidden="1" customHeight="1" x14ac:dyDescent="0.2"/>
    <row r="355" ht="13.9" hidden="1" customHeight="1" x14ac:dyDescent="0.2"/>
    <row r="356" ht="13.9" hidden="1" customHeight="1" x14ac:dyDescent="0.2"/>
    <row r="357" ht="13.9" hidden="1" customHeight="1" x14ac:dyDescent="0.2"/>
    <row r="358" ht="13.9" hidden="1" customHeight="1" x14ac:dyDescent="0.2"/>
    <row r="359" ht="13.9" hidden="1" customHeight="1" x14ac:dyDescent="0.2"/>
    <row r="360" ht="13.9" hidden="1" customHeight="1" x14ac:dyDescent="0.2"/>
    <row r="361" ht="13.9" hidden="1" customHeight="1" x14ac:dyDescent="0.2"/>
    <row r="362" ht="13.9" hidden="1" customHeight="1" x14ac:dyDescent="0.2"/>
    <row r="363" ht="13.9" hidden="1" customHeight="1" x14ac:dyDescent="0.2"/>
    <row r="364" ht="13.9" hidden="1" customHeight="1" x14ac:dyDescent="0.2"/>
    <row r="365" ht="13.9" hidden="1" customHeight="1" x14ac:dyDescent="0.2"/>
    <row r="366" ht="13.9" hidden="1" customHeight="1" x14ac:dyDescent="0.2"/>
    <row r="367" ht="13.9" hidden="1" customHeight="1" x14ac:dyDescent="0.2"/>
    <row r="368" ht="13.9" hidden="1" customHeight="1" x14ac:dyDescent="0.2"/>
    <row r="369" ht="13.9" hidden="1" customHeight="1" x14ac:dyDescent="0.2"/>
    <row r="370" ht="13.9" hidden="1" customHeight="1" x14ac:dyDescent="0.2"/>
    <row r="371" ht="13.9" hidden="1" customHeight="1" x14ac:dyDescent="0.2"/>
    <row r="372" ht="13.9" hidden="1" customHeight="1" x14ac:dyDescent="0.2"/>
    <row r="373" ht="13.9" hidden="1" customHeight="1" x14ac:dyDescent="0.2"/>
    <row r="374" ht="13.9" hidden="1" customHeight="1" x14ac:dyDescent="0.2"/>
    <row r="375" ht="13.9" hidden="1" customHeight="1" x14ac:dyDescent="0.2"/>
    <row r="376" ht="13.9" hidden="1" customHeight="1" x14ac:dyDescent="0.2"/>
    <row r="377" ht="13.9" hidden="1" customHeight="1" x14ac:dyDescent="0.2"/>
    <row r="378" ht="13.9" hidden="1" customHeight="1" x14ac:dyDescent="0.2"/>
    <row r="379" ht="13.9" hidden="1" customHeight="1" x14ac:dyDescent="0.2"/>
    <row r="380" ht="13.9" hidden="1" customHeight="1" x14ac:dyDescent="0.2"/>
    <row r="381" ht="13.9" hidden="1" customHeight="1" x14ac:dyDescent="0.2"/>
    <row r="382" ht="13.9" hidden="1" customHeight="1" x14ac:dyDescent="0.2"/>
    <row r="383" ht="13.9" hidden="1" customHeight="1" x14ac:dyDescent="0.2"/>
    <row r="384" ht="13.9" hidden="1" customHeight="1" x14ac:dyDescent="0.2"/>
    <row r="385" ht="13.9" hidden="1" customHeight="1" x14ac:dyDescent="0.2"/>
    <row r="386" ht="13.9" hidden="1" customHeight="1" x14ac:dyDescent="0.2"/>
    <row r="387" ht="13.9" hidden="1" customHeight="1" x14ac:dyDescent="0.2"/>
    <row r="388" ht="13.9" hidden="1" customHeight="1" x14ac:dyDescent="0.2"/>
    <row r="389" ht="13.9" hidden="1" customHeight="1" x14ac:dyDescent="0.2"/>
    <row r="390" ht="13.9" hidden="1" customHeight="1" x14ac:dyDescent="0.2"/>
    <row r="391" ht="13.9" hidden="1" customHeight="1" x14ac:dyDescent="0.2"/>
    <row r="392" ht="13.9" hidden="1" customHeight="1" x14ac:dyDescent="0.2"/>
    <row r="393" ht="13.9" hidden="1" customHeight="1" x14ac:dyDescent="0.2"/>
    <row r="394" ht="13.9" hidden="1" customHeight="1" x14ac:dyDescent="0.2"/>
    <row r="395" ht="13.9" hidden="1" customHeight="1" x14ac:dyDescent="0.2"/>
    <row r="396" ht="13.9" hidden="1" customHeight="1" x14ac:dyDescent="0.2"/>
    <row r="397" ht="13.9" hidden="1" customHeight="1" x14ac:dyDescent="0.2"/>
    <row r="398" ht="13.9" hidden="1" customHeight="1" x14ac:dyDescent="0.2"/>
    <row r="399" ht="13.9" hidden="1" customHeight="1" x14ac:dyDescent="0.2"/>
    <row r="400" ht="13.9" hidden="1" customHeight="1" x14ac:dyDescent="0.2"/>
    <row r="401" spans="8:59" ht="13.9" hidden="1" customHeight="1" x14ac:dyDescent="0.2"/>
    <row r="402" spans="8:59" ht="13.9" hidden="1" customHeight="1" x14ac:dyDescent="0.2"/>
    <row r="403" spans="8:59" ht="13.9" hidden="1" customHeight="1" x14ac:dyDescent="0.2"/>
    <row r="404" spans="8:59" ht="13.9" hidden="1" customHeight="1" x14ac:dyDescent="0.2"/>
    <row r="405" spans="8:59" ht="13.9" hidden="1" customHeight="1" x14ac:dyDescent="0.2"/>
    <row r="406" spans="8:59" ht="13.9" hidden="1" customHeight="1" x14ac:dyDescent="0.2"/>
    <row r="407" spans="8:59" ht="13.9" hidden="1" customHeight="1" x14ac:dyDescent="0.2"/>
    <row r="408" spans="8:59" ht="14.25" hidden="1" customHeight="1" x14ac:dyDescent="0.2"/>
    <row r="409" spans="8:59" ht="13.9" customHeight="1" x14ac:dyDescent="0.2">
      <c r="H409" s="84"/>
      <c r="M409" s="84"/>
      <c r="N409" s="84"/>
      <c r="O409" s="84"/>
      <c r="Q409" s="23"/>
      <c r="R409" s="361" t="s">
        <v>314</v>
      </c>
      <c r="S409" s="21"/>
      <c r="T409" s="227"/>
      <c r="U409" s="228"/>
      <c r="V409" s="228"/>
      <c r="W409" s="228"/>
      <c r="X409" s="228"/>
      <c r="Y409" s="228"/>
      <c r="Z409" s="228"/>
      <c r="AA409" s="228"/>
      <c r="AB409" s="228"/>
      <c r="AC409" s="228"/>
      <c r="AD409" s="228"/>
      <c r="AN409" s="22"/>
      <c r="AO409" s="22"/>
      <c r="BF409" s="5"/>
      <c r="BG409" s="5"/>
    </row>
    <row r="410" spans="8:59" ht="13.9" customHeight="1" x14ac:dyDescent="0.2">
      <c r="H410" s="84"/>
      <c r="M410" s="84"/>
      <c r="N410" s="84"/>
      <c r="O410" s="84"/>
      <c r="Q410" s="23"/>
      <c r="R410" s="238"/>
      <c r="S410" s="361" t="s">
        <v>57</v>
      </c>
      <c r="T410" s="227"/>
      <c r="U410" s="228"/>
      <c r="V410" s="228"/>
      <c r="W410" s="228"/>
      <c r="X410" s="228"/>
      <c r="Y410" s="228" t="s">
        <v>160</v>
      </c>
      <c r="Z410" s="228" t="s">
        <v>596</v>
      </c>
      <c r="AA410" s="228"/>
      <c r="AB410" s="228"/>
      <c r="AC410" s="228"/>
      <c r="AD410" s="228"/>
      <c r="AN410" s="22"/>
      <c r="AO410" s="22"/>
      <c r="BF410" s="5"/>
      <c r="BG410" s="5"/>
    </row>
    <row r="411" spans="8:59" ht="13.9" customHeight="1" x14ac:dyDescent="0.2">
      <c r="H411" s="84"/>
      <c r="M411" s="84"/>
      <c r="N411" s="84"/>
      <c r="O411" s="84"/>
      <c r="Q411" s="23"/>
      <c r="R411" s="238"/>
      <c r="S411" s="279" t="str">
        <f>B8</f>
        <v>Käsittelyssä tarvittavien työkoneiden ja muun työmaakaluston kuljetus alueelle sekä niiden kuljetus alueelta pois käsittelyn päättyessä</v>
      </c>
      <c r="T411" s="280"/>
      <c r="U411" s="281"/>
      <c r="V411" s="281"/>
      <c r="W411" s="281" t="s">
        <v>662</v>
      </c>
      <c r="X411" s="281" t="s">
        <v>612</v>
      </c>
      <c r="Y411" s="282">
        <f>SUM(Y412,Y415)</f>
        <v>0</v>
      </c>
      <c r="Z411" s="283" t="str">
        <f t="shared" ref="Z411:Z447" si="4">IF(ISERROR(Y411/$Y$449),"--",Y411/$Y$449)</f>
        <v>--</v>
      </c>
      <c r="AA411" s="228"/>
      <c r="AB411" s="228"/>
      <c r="AC411" s="228"/>
      <c r="AD411" s="228"/>
      <c r="AN411" s="22"/>
      <c r="AO411" s="22"/>
      <c r="BF411" s="5"/>
      <c r="BG411" s="5"/>
    </row>
    <row r="412" spans="8:59" ht="13.9" customHeight="1" x14ac:dyDescent="0.2">
      <c r="H412" s="84"/>
      <c r="M412" s="84"/>
      <c r="N412" s="84"/>
      <c r="O412" s="84"/>
      <c r="Q412" s="23"/>
      <c r="R412" s="238"/>
      <c r="S412" s="207" t="s">
        <v>569</v>
      </c>
      <c r="T412" s="228"/>
      <c r="U412" s="228"/>
      <c r="V412" s="228"/>
      <c r="W412" s="228" t="s">
        <v>662</v>
      </c>
      <c r="X412" s="228" t="s">
        <v>316</v>
      </c>
      <c r="Y412" s="229">
        <f>SUM(Y413:Y414)</f>
        <v>0</v>
      </c>
      <c r="Z412" s="277" t="str">
        <f t="shared" si="4"/>
        <v>--</v>
      </c>
      <c r="AA412" s="228"/>
      <c r="AB412" s="228"/>
      <c r="AC412" s="228"/>
      <c r="AD412" s="228"/>
      <c r="AN412" s="22"/>
      <c r="AO412" s="22"/>
      <c r="BF412" s="5"/>
      <c r="BG412" s="5"/>
    </row>
    <row r="413" spans="8:59" ht="13.9" customHeight="1" x14ac:dyDescent="0.2">
      <c r="H413" s="84"/>
      <c r="M413" s="84"/>
      <c r="N413" s="84"/>
      <c r="O413" s="84"/>
      <c r="Q413" s="23"/>
      <c r="R413" s="238"/>
      <c r="S413" s="246" t="s">
        <v>40</v>
      </c>
      <c r="T413" s="228"/>
      <c r="U413" s="228"/>
      <c r="V413" s="228"/>
      <c r="W413" s="228" t="s">
        <v>40</v>
      </c>
      <c r="X413" s="228"/>
      <c r="Y413" s="229">
        <f>SUM(AB11,AB16,AB21)</f>
        <v>0</v>
      </c>
      <c r="Z413" s="277" t="str">
        <f t="shared" si="4"/>
        <v>--</v>
      </c>
      <c r="AA413" s="228"/>
      <c r="AB413" s="228"/>
      <c r="AC413" s="228"/>
      <c r="AD413" s="228"/>
      <c r="AN413" s="22"/>
      <c r="AO413" s="22"/>
      <c r="BF413" s="5"/>
      <c r="BG413" s="5"/>
    </row>
    <row r="414" spans="8:59" ht="13.9" customHeight="1" x14ac:dyDescent="0.2">
      <c r="H414" s="84"/>
      <c r="M414" s="84"/>
      <c r="N414" s="84"/>
      <c r="O414" s="84"/>
      <c r="Q414" s="23"/>
      <c r="R414" s="238"/>
      <c r="S414" s="246" t="s">
        <v>577</v>
      </c>
      <c r="T414" s="228"/>
      <c r="U414" s="228"/>
      <c r="V414" s="228"/>
      <c r="W414" s="228" t="s">
        <v>40</v>
      </c>
      <c r="X414" s="228"/>
      <c r="Y414" s="229">
        <f>SUM(AG21,AG16,AG11)</f>
        <v>0</v>
      </c>
      <c r="Z414" s="277" t="str">
        <f t="shared" si="4"/>
        <v>--</v>
      </c>
      <c r="AA414" s="228"/>
      <c r="AB414" s="228"/>
      <c r="AC414" s="228"/>
      <c r="AD414" s="228"/>
      <c r="AN414" s="22"/>
      <c r="AO414" s="22"/>
      <c r="BF414" s="5"/>
      <c r="BG414" s="5"/>
    </row>
    <row r="415" spans="8:59" ht="13.9" customHeight="1" x14ac:dyDescent="0.2">
      <c r="H415" s="84"/>
      <c r="M415" s="84"/>
      <c r="N415" s="84"/>
      <c r="O415" s="84"/>
      <c r="Q415" s="23"/>
      <c r="R415" s="238"/>
      <c r="S415" s="207" t="s">
        <v>570</v>
      </c>
      <c r="T415" s="228"/>
      <c r="U415" s="228"/>
      <c r="V415" s="228"/>
      <c r="W415" s="228" t="s">
        <v>662</v>
      </c>
      <c r="X415" s="228" t="s">
        <v>611</v>
      </c>
      <c r="Y415" s="229">
        <f>SUM(Y416:Y417)</f>
        <v>0</v>
      </c>
      <c r="Z415" s="277" t="str">
        <f t="shared" si="4"/>
        <v>--</v>
      </c>
      <c r="AA415" s="228"/>
      <c r="AB415" s="228"/>
      <c r="AC415" s="228"/>
      <c r="AD415" s="228"/>
      <c r="AN415" s="22"/>
      <c r="AO415" s="22"/>
      <c r="BF415" s="5"/>
      <c r="BG415" s="5"/>
    </row>
    <row r="416" spans="8:59" ht="13.9" customHeight="1" x14ac:dyDescent="0.2">
      <c r="H416" s="84"/>
      <c r="M416" s="84"/>
      <c r="N416" s="84"/>
      <c r="O416" s="84"/>
      <c r="Q416" s="23"/>
      <c r="R416" s="238"/>
      <c r="S416" s="246" t="s">
        <v>40</v>
      </c>
      <c r="T416" s="228"/>
      <c r="U416" s="228"/>
      <c r="V416" s="228"/>
      <c r="W416" s="228" t="s">
        <v>40</v>
      </c>
      <c r="X416" s="228"/>
      <c r="Y416" s="229">
        <f>SUM(AB21,AB16,AB11)</f>
        <v>0</v>
      </c>
      <c r="Z416" s="277" t="str">
        <f t="shared" si="4"/>
        <v>--</v>
      </c>
      <c r="AA416" s="228"/>
      <c r="AB416" s="228"/>
      <c r="AC416" s="228"/>
      <c r="AD416" s="228"/>
      <c r="AN416" s="22"/>
      <c r="AO416" s="22"/>
      <c r="BF416" s="5"/>
      <c r="BG416" s="5"/>
    </row>
    <row r="417" spans="8:59" ht="13.9" customHeight="1" x14ac:dyDescent="0.2">
      <c r="H417" s="84"/>
      <c r="M417" s="84"/>
      <c r="N417" s="84"/>
      <c r="O417" s="84"/>
      <c r="Q417" s="23"/>
      <c r="R417" s="238"/>
      <c r="S417" s="246" t="s">
        <v>577</v>
      </c>
      <c r="T417" s="228"/>
      <c r="U417" s="228"/>
      <c r="V417" s="228"/>
      <c r="W417" s="228" t="s">
        <v>40</v>
      </c>
      <c r="X417" s="228"/>
      <c r="Y417" s="229">
        <f>SUM(AG21,AG16,AG11)</f>
        <v>0</v>
      </c>
      <c r="Z417" s="277" t="str">
        <f t="shared" si="4"/>
        <v>--</v>
      </c>
      <c r="AA417" s="228"/>
      <c r="AB417" s="228"/>
      <c r="AC417" s="228"/>
      <c r="AD417" s="228"/>
      <c r="AN417" s="22"/>
      <c r="AO417" s="22"/>
      <c r="BF417" s="5"/>
      <c r="BG417" s="5"/>
    </row>
    <row r="418" spans="8:59" ht="13.9" customHeight="1" x14ac:dyDescent="0.2">
      <c r="H418" s="84"/>
      <c r="M418" s="84"/>
      <c r="N418" s="84"/>
      <c r="O418" s="84"/>
      <c r="Q418" s="23"/>
      <c r="R418" s="238"/>
      <c r="S418" s="279" t="str">
        <f>B28</f>
        <v>Käsittelyä varten tehtävät puuston, asfalttipintojen  tai rakenteiden poisto</v>
      </c>
      <c r="T418" s="280"/>
      <c r="U418" s="281"/>
      <c r="V418" s="281"/>
      <c r="W418" s="281" t="s">
        <v>663</v>
      </c>
      <c r="X418" s="281" t="s">
        <v>316</v>
      </c>
      <c r="Y418" s="282">
        <f>SUM(Y419,Y420,Y421)</f>
        <v>0</v>
      </c>
      <c r="Z418" s="283" t="str">
        <f t="shared" si="4"/>
        <v>--</v>
      </c>
      <c r="AA418" s="228"/>
      <c r="AB418" s="228"/>
      <c r="AC418" s="228"/>
      <c r="AD418" s="228"/>
      <c r="AN418" s="22"/>
      <c r="AO418" s="22"/>
      <c r="BF418" s="5"/>
      <c r="BG418" s="5"/>
    </row>
    <row r="419" spans="8:59" ht="13.9" customHeight="1" x14ac:dyDescent="0.2">
      <c r="H419" s="84"/>
      <c r="M419" s="84"/>
      <c r="N419" s="84"/>
      <c r="O419" s="84"/>
      <c r="Q419" s="23"/>
      <c r="R419" s="238"/>
      <c r="S419" s="207" t="s">
        <v>574</v>
      </c>
      <c r="T419" s="228"/>
      <c r="U419" s="228"/>
      <c r="V419" s="228"/>
      <c r="W419" s="228" t="s">
        <v>595</v>
      </c>
      <c r="X419" s="228" t="s">
        <v>316</v>
      </c>
      <c r="Y419" s="229">
        <f>SUM(R31)</f>
        <v>0</v>
      </c>
      <c r="Z419" s="277" t="str">
        <f t="shared" si="4"/>
        <v>--</v>
      </c>
      <c r="AA419" s="228"/>
      <c r="AB419" s="228"/>
      <c r="AC419" s="228"/>
      <c r="AD419" s="228"/>
      <c r="AN419" s="22"/>
      <c r="AO419" s="22"/>
      <c r="BF419" s="5"/>
      <c r="BG419" s="5"/>
    </row>
    <row r="420" spans="8:59" ht="13.9" customHeight="1" x14ac:dyDescent="0.2">
      <c r="H420" s="84"/>
      <c r="M420" s="84"/>
      <c r="N420" s="84"/>
      <c r="O420" s="84"/>
      <c r="Q420" s="23"/>
      <c r="R420" s="238"/>
      <c r="S420" s="207" t="s">
        <v>571</v>
      </c>
      <c r="T420" s="228"/>
      <c r="U420" s="228"/>
      <c r="V420" s="228"/>
      <c r="W420" s="228" t="s">
        <v>595</v>
      </c>
      <c r="X420" s="228" t="s">
        <v>575</v>
      </c>
      <c r="Y420" s="229">
        <f>SUM(R32)</f>
        <v>0</v>
      </c>
      <c r="Z420" s="277" t="str">
        <f t="shared" si="4"/>
        <v>--</v>
      </c>
      <c r="AA420" s="228"/>
      <c r="AB420" s="228"/>
      <c r="AC420" s="228"/>
      <c r="AD420" s="228"/>
      <c r="AN420" s="22"/>
      <c r="AO420" s="22"/>
      <c r="BF420" s="5"/>
      <c r="BG420" s="5"/>
    </row>
    <row r="421" spans="8:59" ht="13.9" customHeight="1" x14ac:dyDescent="0.2">
      <c r="H421" s="84"/>
      <c r="M421" s="84"/>
      <c r="N421" s="84"/>
      <c r="O421" s="84"/>
      <c r="Q421" s="23"/>
      <c r="R421" s="238"/>
      <c r="S421" s="207" t="s">
        <v>55</v>
      </c>
      <c r="T421" s="228"/>
      <c r="U421" s="228"/>
      <c r="V421" s="228"/>
      <c r="W421" s="228" t="s">
        <v>595</v>
      </c>
      <c r="X421" s="228" t="s">
        <v>316</v>
      </c>
      <c r="Y421" s="229">
        <f>SUM(R34)</f>
        <v>0</v>
      </c>
      <c r="Z421" s="277" t="str">
        <f t="shared" si="4"/>
        <v>--</v>
      </c>
      <c r="AA421" s="228"/>
      <c r="AB421" s="228"/>
      <c r="AC421" s="228"/>
      <c r="AD421" s="228"/>
      <c r="AN421" s="22"/>
      <c r="AO421" s="22"/>
      <c r="BF421" s="5"/>
      <c r="BG421" s="5"/>
    </row>
    <row r="422" spans="8:59" ht="13.9" customHeight="1" x14ac:dyDescent="0.2">
      <c r="H422" s="84"/>
      <c r="M422" s="84"/>
      <c r="N422" s="84"/>
      <c r="O422" s="84"/>
      <c r="Q422" s="23"/>
      <c r="R422" s="238"/>
      <c r="S422" s="279" t="str">
        <f>B37</f>
        <v>Asennus- ja valmisteluvaiheessa tarvittavat työkoneet</v>
      </c>
      <c r="T422" s="280"/>
      <c r="U422" s="281"/>
      <c r="V422" s="281"/>
      <c r="W422" s="281" t="s">
        <v>595</v>
      </c>
      <c r="X422" s="281" t="s">
        <v>316</v>
      </c>
      <c r="Y422" s="282">
        <f>SUM(R40,R44,R48)</f>
        <v>0</v>
      </c>
      <c r="Z422" s="283" t="str">
        <f t="shared" si="4"/>
        <v>--</v>
      </c>
      <c r="AA422" s="228"/>
      <c r="AB422" s="228"/>
      <c r="AC422" s="228"/>
      <c r="AD422" s="228"/>
      <c r="AN422" s="22"/>
      <c r="AO422" s="22"/>
      <c r="BF422" s="5"/>
      <c r="BG422" s="5"/>
    </row>
    <row r="423" spans="8:59" ht="13.9" customHeight="1" x14ac:dyDescent="0.2">
      <c r="H423" s="84"/>
      <c r="M423" s="84"/>
      <c r="N423" s="84"/>
      <c r="O423" s="84"/>
      <c r="Q423" s="23"/>
      <c r="R423" s="238"/>
      <c r="S423" s="279" t="str">
        <f>B52</f>
        <v>Mahdollisten käsittelyssä poistettavien maa-ainesten ja purkumateriaalien kuljetukset</v>
      </c>
      <c r="T423" s="280"/>
      <c r="U423" s="281"/>
      <c r="V423" s="281"/>
      <c r="W423" s="281" t="s">
        <v>662</v>
      </c>
      <c r="X423" s="281" t="s">
        <v>602</v>
      </c>
      <c r="Y423" s="282">
        <f>SUM(Y424:Y425)</f>
        <v>0</v>
      </c>
      <c r="Z423" s="283" t="str">
        <f t="shared" si="4"/>
        <v>--</v>
      </c>
      <c r="AA423" s="228"/>
      <c r="AB423" s="228"/>
      <c r="AC423" s="228"/>
      <c r="AD423" s="228"/>
      <c r="AN423" s="22"/>
      <c r="AO423" s="22"/>
      <c r="BF423" s="5"/>
      <c r="BG423" s="5"/>
    </row>
    <row r="424" spans="8:59" ht="13.9" customHeight="1" x14ac:dyDescent="0.2">
      <c r="H424" s="84"/>
      <c r="M424" s="84"/>
      <c r="N424" s="84"/>
      <c r="O424" s="84"/>
      <c r="Q424" s="23"/>
      <c r="R424" s="238"/>
      <c r="S424" s="207" t="s">
        <v>40</v>
      </c>
      <c r="T424" s="227"/>
      <c r="U424" s="228"/>
      <c r="V424" s="228"/>
      <c r="W424" s="228" t="s">
        <v>40</v>
      </c>
      <c r="X424" s="228" t="s">
        <v>602</v>
      </c>
      <c r="Y424" s="229">
        <f>SUM(AB56,AB61,AB66,AB71,AB76)</f>
        <v>0</v>
      </c>
      <c r="Z424" s="277" t="str">
        <f t="shared" si="4"/>
        <v>--</v>
      </c>
      <c r="AA424" s="228"/>
      <c r="AB424" s="228"/>
      <c r="AC424" s="228"/>
      <c r="AD424" s="228"/>
      <c r="AN424" s="22"/>
      <c r="AO424" s="22"/>
      <c r="BF424" s="5"/>
      <c r="BG424" s="5"/>
    </row>
    <row r="425" spans="8:59" ht="13.9" customHeight="1" x14ac:dyDescent="0.2">
      <c r="H425" s="84"/>
      <c r="M425" s="84"/>
      <c r="N425" s="84"/>
      <c r="O425" s="84"/>
      <c r="Q425" s="23"/>
      <c r="R425" s="238"/>
      <c r="S425" s="207" t="s">
        <v>577</v>
      </c>
      <c r="T425" s="227"/>
      <c r="U425" s="228"/>
      <c r="V425" s="228"/>
      <c r="W425" s="228" t="s">
        <v>40</v>
      </c>
      <c r="X425" s="228" t="s">
        <v>602</v>
      </c>
      <c r="Y425" s="229">
        <f>SUM(AG56,AG61,AG66,AG71,AG76)</f>
        <v>0</v>
      </c>
      <c r="Z425" s="277" t="str">
        <f t="shared" si="4"/>
        <v>--</v>
      </c>
      <c r="AA425" s="228"/>
      <c r="AB425" s="228"/>
      <c r="AC425" s="228"/>
      <c r="AD425" s="228"/>
      <c r="AN425" s="22"/>
      <c r="AO425" s="22"/>
      <c r="BF425" s="5"/>
      <c r="BG425" s="5"/>
    </row>
    <row r="426" spans="8:59" ht="13.9" customHeight="1" x14ac:dyDescent="0.2">
      <c r="H426" s="84"/>
      <c r="M426" s="84"/>
      <c r="N426" s="84"/>
      <c r="O426" s="84"/>
      <c r="Q426" s="23"/>
      <c r="R426" s="238"/>
      <c r="S426" s="279" t="str">
        <f>B83</f>
        <v>Mahdollisten korvaavien maa-ainesten määrä</v>
      </c>
      <c r="T426" s="280"/>
      <c r="U426" s="281"/>
      <c r="V426" s="281"/>
      <c r="W426" s="281" t="s">
        <v>594</v>
      </c>
      <c r="X426" s="281" t="s">
        <v>602</v>
      </c>
      <c r="Y426" s="282">
        <f>SUM(R85:R89)</f>
        <v>0</v>
      </c>
      <c r="Z426" s="283" t="str">
        <f t="shared" si="4"/>
        <v>--</v>
      </c>
      <c r="AA426" s="228"/>
      <c r="AB426" s="228"/>
      <c r="AC426" s="228"/>
      <c r="AD426" s="228"/>
      <c r="AN426" s="22"/>
      <c r="AO426" s="22"/>
      <c r="BF426" s="5"/>
      <c r="BG426" s="5"/>
    </row>
    <row r="427" spans="8:59" ht="13.9" customHeight="1" x14ac:dyDescent="0.2">
      <c r="H427" s="84"/>
      <c r="M427" s="84"/>
      <c r="N427" s="84"/>
      <c r="O427" s="84"/>
      <c r="Q427" s="23"/>
      <c r="R427" s="238"/>
      <c r="S427" s="279" t="str">
        <f>B93</f>
        <v>Mahdollisten korvaavien maa-ainesten kuljetukset alueelle</v>
      </c>
      <c r="T427" s="280"/>
      <c r="U427" s="281"/>
      <c r="V427" s="281"/>
      <c r="W427" s="281" t="s">
        <v>662</v>
      </c>
      <c r="X427" s="281" t="s">
        <v>602</v>
      </c>
      <c r="Y427" s="282">
        <f>SUM(Y428,Y429)</f>
        <v>0</v>
      </c>
      <c r="Z427" s="283" t="str">
        <f t="shared" si="4"/>
        <v>--</v>
      </c>
      <c r="AA427" s="228"/>
      <c r="AB427" s="228"/>
      <c r="AC427" s="228"/>
      <c r="AD427" s="228"/>
      <c r="AN427" s="22"/>
      <c r="AO427" s="22"/>
      <c r="BF427" s="5"/>
      <c r="BG427" s="5"/>
    </row>
    <row r="428" spans="8:59" ht="13.9" customHeight="1" x14ac:dyDescent="0.2">
      <c r="H428" s="84"/>
      <c r="M428" s="84"/>
      <c r="N428" s="84"/>
      <c r="O428" s="84"/>
      <c r="Q428" s="23"/>
      <c r="R428" s="238"/>
      <c r="S428" s="207" t="s">
        <v>40</v>
      </c>
      <c r="T428" s="228"/>
      <c r="U428" s="228"/>
      <c r="V428" s="228"/>
      <c r="W428" s="228" t="s">
        <v>40</v>
      </c>
      <c r="X428" s="228" t="s">
        <v>602</v>
      </c>
      <c r="Y428" s="229">
        <f>SUM(AB96,AB101,AB106,AB111,AB116)</f>
        <v>0</v>
      </c>
      <c r="Z428" s="277" t="str">
        <f t="shared" si="4"/>
        <v>--</v>
      </c>
      <c r="AA428" s="228"/>
      <c r="AB428" s="228"/>
      <c r="AC428" s="228"/>
      <c r="AD428" s="228"/>
      <c r="AN428" s="22"/>
      <c r="AO428" s="22"/>
      <c r="BF428" s="5"/>
      <c r="BG428" s="5"/>
    </row>
    <row r="429" spans="8:59" ht="13.9" customHeight="1" x14ac:dyDescent="0.2">
      <c r="H429" s="84"/>
      <c r="M429" s="84"/>
      <c r="N429" s="84"/>
      <c r="O429" s="84"/>
      <c r="Q429" s="23"/>
      <c r="R429" s="238"/>
      <c r="S429" s="207" t="s">
        <v>577</v>
      </c>
      <c r="T429" s="228"/>
      <c r="U429" s="228"/>
      <c r="V429" s="228"/>
      <c r="W429" s="228" t="s">
        <v>40</v>
      </c>
      <c r="X429" s="228" t="s">
        <v>602</v>
      </c>
      <c r="Y429" s="229">
        <f>SUM(AG96,AG101,AG106,AG111,AG116)</f>
        <v>0</v>
      </c>
      <c r="Z429" s="277" t="str">
        <f t="shared" si="4"/>
        <v>--</v>
      </c>
      <c r="AA429" s="228"/>
      <c r="AB429" s="228"/>
      <c r="AC429" s="228"/>
      <c r="AD429" s="228"/>
      <c r="AN429" s="22"/>
      <c r="AO429" s="22"/>
      <c r="BF429" s="5"/>
      <c r="BG429" s="5"/>
    </row>
    <row r="430" spans="8:59" ht="13.9" customHeight="1" x14ac:dyDescent="0.2">
      <c r="H430" s="84"/>
      <c r="M430" s="84"/>
      <c r="N430" s="84"/>
      <c r="O430" s="84"/>
      <c r="Q430" s="23"/>
      <c r="R430" s="238"/>
      <c r="S430" s="279" t="str">
        <f>B123</f>
        <v>Käytettävät kertakäyttöiset tuotteet tai materiaalit</v>
      </c>
      <c r="T430" s="280"/>
      <c r="U430" s="281"/>
      <c r="V430" s="281"/>
      <c r="W430" s="281" t="s">
        <v>594</v>
      </c>
      <c r="X430" s="281" t="s">
        <v>602</v>
      </c>
      <c r="Y430" s="282">
        <f>SUM(R127,R130,R133,R136,R139)</f>
        <v>0</v>
      </c>
      <c r="Z430" s="283" t="str">
        <f t="shared" si="4"/>
        <v>--</v>
      </c>
      <c r="AA430" s="228"/>
      <c r="AB430" s="228"/>
      <c r="AC430" s="228"/>
      <c r="AD430" s="228"/>
      <c r="AN430" s="22"/>
      <c r="AO430" s="22"/>
      <c r="BF430" s="5"/>
      <c r="BG430" s="5"/>
    </row>
    <row r="431" spans="8:59" ht="13.9" customHeight="1" x14ac:dyDescent="0.2">
      <c r="H431" s="84"/>
      <c r="M431" s="84"/>
      <c r="N431" s="84"/>
      <c r="O431" s="84"/>
      <c r="Q431" s="23"/>
      <c r="R431" s="238"/>
      <c r="S431" s="279" t="str">
        <f>B141</f>
        <v>Käsittelyssä käytettävien tuotteiden ja materiaalien kuljetukset alueelle</v>
      </c>
      <c r="T431" s="280"/>
      <c r="U431" s="281"/>
      <c r="V431" s="281"/>
      <c r="W431" s="281" t="s">
        <v>40</v>
      </c>
      <c r="X431" s="281" t="s">
        <v>602</v>
      </c>
      <c r="Y431" s="282">
        <f>SUM(R147,R155,R163,R171,R179)</f>
        <v>0</v>
      </c>
      <c r="Z431" s="283" t="str">
        <f t="shared" si="4"/>
        <v>--</v>
      </c>
      <c r="AA431" s="228"/>
      <c r="AB431" s="228"/>
      <c r="AC431" s="228"/>
      <c r="AD431" s="228"/>
      <c r="AN431" s="22"/>
      <c r="AO431" s="22"/>
      <c r="BF431" s="5"/>
      <c r="BG431" s="5"/>
    </row>
    <row r="432" spans="8:59" ht="13.9" customHeight="1" x14ac:dyDescent="0.2">
      <c r="H432" s="84"/>
      <c r="M432" s="84"/>
      <c r="N432" s="84"/>
      <c r="O432" s="84"/>
      <c r="Q432" s="23"/>
      <c r="R432" s="238"/>
      <c r="S432" s="279" t="str">
        <f>B187</f>
        <v>Vesien pumppaaminen</v>
      </c>
      <c r="T432" s="280"/>
      <c r="U432" s="281"/>
      <c r="V432" s="281"/>
      <c r="W432" s="281" t="s">
        <v>601</v>
      </c>
      <c r="X432" s="281" t="s">
        <v>602</v>
      </c>
      <c r="Y432" s="282">
        <f>SUM(R191)</f>
        <v>0</v>
      </c>
      <c r="Z432" s="283" t="str">
        <f t="shared" si="4"/>
        <v>--</v>
      </c>
      <c r="AA432" s="228"/>
      <c r="AB432" s="228"/>
      <c r="AC432" s="228"/>
      <c r="AD432" s="228"/>
      <c r="AN432" s="22"/>
      <c r="AO432" s="22"/>
      <c r="BF432" s="5"/>
      <c r="BG432" s="5"/>
    </row>
    <row r="433" spans="8:59" ht="13.9" customHeight="1" x14ac:dyDescent="0.2">
      <c r="H433" s="84"/>
      <c r="M433" s="84"/>
      <c r="N433" s="84"/>
      <c r="O433" s="84"/>
      <c r="Q433" s="23"/>
      <c r="R433" s="238"/>
      <c r="S433" s="279" t="str">
        <f>B199</f>
        <v>Viemäröidyn veden määrä kuutiometreinä</v>
      </c>
      <c r="T433" s="280"/>
      <c r="U433" s="281"/>
      <c r="V433" s="281"/>
      <c r="W433" s="281" t="s">
        <v>601</v>
      </c>
      <c r="X433" s="281" t="s">
        <v>602</v>
      </c>
      <c r="Y433" s="282">
        <f>SUM(R199)</f>
        <v>0</v>
      </c>
      <c r="Z433" s="283" t="str">
        <f t="shared" si="4"/>
        <v>--</v>
      </c>
      <c r="AA433" s="228"/>
      <c r="AB433" s="228"/>
      <c r="AC433" s="228"/>
      <c r="AD433" s="228"/>
      <c r="AN433" s="22"/>
      <c r="AO433" s="22"/>
      <c r="BF433" s="5"/>
      <c r="BG433" s="5"/>
    </row>
    <row r="434" spans="8:59" ht="13.9" customHeight="1" x14ac:dyDescent="0.2">
      <c r="H434" s="84"/>
      <c r="M434" s="84"/>
      <c r="N434" s="84"/>
      <c r="O434" s="84"/>
      <c r="Q434" s="23"/>
      <c r="R434" s="238"/>
      <c r="S434" s="279" t="str">
        <f>B203</f>
        <v>Poistokaasujen imu</v>
      </c>
      <c r="T434" s="280"/>
      <c r="U434" s="281"/>
      <c r="V434" s="281"/>
      <c r="W434" s="281" t="s">
        <v>683</v>
      </c>
      <c r="X434" s="281" t="s">
        <v>602</v>
      </c>
      <c r="Y434" s="282">
        <f>SUM(R210)</f>
        <v>0</v>
      </c>
      <c r="Z434" s="283" t="str">
        <f t="shared" si="4"/>
        <v>--</v>
      </c>
      <c r="AA434" s="228"/>
      <c r="AB434" s="228"/>
      <c r="AC434" s="228"/>
      <c r="AD434" s="228"/>
      <c r="AN434" s="22"/>
      <c r="AO434" s="22"/>
      <c r="BF434" s="5"/>
      <c r="BG434" s="5"/>
    </row>
    <row r="435" spans="8:59" ht="13.9" customHeight="1" x14ac:dyDescent="0.2">
      <c r="H435" s="84"/>
      <c r="M435" s="84"/>
      <c r="N435" s="84"/>
      <c r="O435" s="84"/>
      <c r="Q435" s="23"/>
      <c r="R435" s="238"/>
      <c r="S435" s="279" t="str">
        <f>B215</f>
        <v>Prosessia tehostavan mahdollinen kuuman ilman, höyryn tai veden tuottaminen</v>
      </c>
      <c r="T435" s="280"/>
      <c r="U435" s="281"/>
      <c r="V435" s="281"/>
      <c r="W435" s="281" t="s">
        <v>683</v>
      </c>
      <c r="X435" s="281" t="s">
        <v>602</v>
      </c>
      <c r="Y435" s="282">
        <f>SUM(R219)</f>
        <v>0</v>
      </c>
      <c r="Z435" s="283" t="str">
        <f t="shared" si="4"/>
        <v>--</v>
      </c>
      <c r="AA435" s="228"/>
      <c r="AB435" s="228"/>
      <c r="AC435" s="228"/>
      <c r="AD435" s="228"/>
      <c r="AN435" s="22"/>
      <c r="AO435" s="22"/>
      <c r="BF435" s="5"/>
      <c r="BG435" s="5"/>
    </row>
    <row r="436" spans="8:59" ht="13.9" customHeight="1" x14ac:dyDescent="0.2">
      <c r="H436" s="84"/>
      <c r="M436" s="84"/>
      <c r="N436" s="84"/>
      <c r="O436" s="84"/>
      <c r="Q436" s="23"/>
      <c r="R436" s="238"/>
      <c r="S436" s="279" t="str">
        <f>B227</f>
        <v>Poistokaasujen käsittelyn mahdollinen energiankäyttö</v>
      </c>
      <c r="T436" s="280"/>
      <c r="U436" s="281"/>
      <c r="V436" s="281"/>
      <c r="W436" s="281" t="s">
        <v>683</v>
      </c>
      <c r="X436" s="281" t="s">
        <v>602</v>
      </c>
      <c r="Y436" s="282">
        <f>SUM(R231)</f>
        <v>0</v>
      </c>
      <c r="Z436" s="283" t="str">
        <f t="shared" si="4"/>
        <v>--</v>
      </c>
      <c r="AA436" s="228"/>
      <c r="AB436" s="228"/>
      <c r="AC436" s="228"/>
      <c r="AD436" s="228"/>
      <c r="AN436" s="22"/>
      <c r="AO436" s="22"/>
      <c r="BF436" s="5"/>
      <c r="BG436" s="5"/>
    </row>
    <row r="437" spans="8:59" ht="13.9" customHeight="1" x14ac:dyDescent="0.2">
      <c r="H437" s="84"/>
      <c r="M437" s="84"/>
      <c r="N437" s="84"/>
      <c r="O437" s="84"/>
      <c r="Q437" s="23"/>
      <c r="R437" s="238"/>
      <c r="S437" s="279" t="s">
        <v>42</v>
      </c>
      <c r="T437" s="281"/>
      <c r="U437" s="281"/>
      <c r="V437" s="281"/>
      <c r="W437" s="281" t="s">
        <v>664</v>
      </c>
      <c r="X437" s="281"/>
      <c r="Y437" s="282">
        <f>SUM(Y438:Y440)</f>
        <v>0</v>
      </c>
      <c r="Z437" s="283" t="str">
        <f t="shared" si="4"/>
        <v>--</v>
      </c>
      <c r="AA437" s="228"/>
      <c r="AB437" s="228"/>
      <c r="AC437" s="228"/>
      <c r="AD437" s="228"/>
      <c r="AN437" s="22"/>
      <c r="AO437" s="22"/>
      <c r="BF437" s="5"/>
      <c r="BG437" s="5"/>
    </row>
    <row r="438" spans="8:59" ht="13.9" customHeight="1" x14ac:dyDescent="0.2">
      <c r="H438" s="84"/>
      <c r="M438" s="84"/>
      <c r="N438" s="84"/>
      <c r="O438" s="84"/>
      <c r="Q438" s="23"/>
      <c r="R438" s="238"/>
      <c r="S438" s="207" t="s">
        <v>60</v>
      </c>
      <c r="T438" s="228"/>
      <c r="U438" s="228"/>
      <c r="V438" s="228"/>
      <c r="W438" s="228" t="s">
        <v>601</v>
      </c>
      <c r="X438" s="228" t="s">
        <v>316</v>
      </c>
      <c r="Y438" s="229">
        <f>SUM(R241)</f>
        <v>0</v>
      </c>
      <c r="Z438" s="277" t="str">
        <f t="shared" si="4"/>
        <v>--</v>
      </c>
      <c r="AA438" s="228"/>
      <c r="AB438" s="228"/>
      <c r="AC438" s="228"/>
      <c r="AD438" s="228"/>
      <c r="AN438" s="22"/>
      <c r="AO438" s="22"/>
      <c r="BF438" s="5"/>
      <c r="BG438" s="5"/>
    </row>
    <row r="439" spans="8:59" ht="13.9" customHeight="1" x14ac:dyDescent="0.2">
      <c r="H439" s="84"/>
      <c r="M439" s="84"/>
      <c r="N439" s="84"/>
      <c r="O439" s="84"/>
      <c r="Q439" s="23"/>
      <c r="R439" s="238"/>
      <c r="S439" s="207" t="s">
        <v>580</v>
      </c>
      <c r="T439" s="228"/>
      <c r="U439" s="228"/>
      <c r="V439" s="228"/>
      <c r="W439" s="228" t="s">
        <v>601</v>
      </c>
      <c r="X439" s="228" t="s">
        <v>602</v>
      </c>
      <c r="Y439" s="229">
        <f>SUM(R243)</f>
        <v>0</v>
      </c>
      <c r="Z439" s="277" t="str">
        <f t="shared" si="4"/>
        <v>--</v>
      </c>
      <c r="AA439" s="228"/>
      <c r="AB439" s="228"/>
      <c r="AC439" s="228"/>
      <c r="AD439" s="228"/>
      <c r="AN439" s="22"/>
      <c r="AO439" s="22"/>
      <c r="BF439" s="5"/>
      <c r="BG439" s="5"/>
    </row>
    <row r="440" spans="8:59" ht="13.9" customHeight="1" x14ac:dyDescent="0.2">
      <c r="H440" s="84"/>
      <c r="M440" s="84"/>
      <c r="N440" s="84"/>
      <c r="O440" s="84"/>
      <c r="Q440" s="23"/>
      <c r="R440" s="238"/>
      <c r="S440" s="207" t="s">
        <v>581</v>
      </c>
      <c r="T440" s="228"/>
      <c r="U440" s="228"/>
      <c r="V440" s="228"/>
      <c r="W440" s="228" t="s">
        <v>601</v>
      </c>
      <c r="X440" s="228" t="s">
        <v>603</v>
      </c>
      <c r="Y440" s="229">
        <f>SUM(R331)</f>
        <v>0</v>
      </c>
      <c r="Z440" s="277" t="str">
        <f t="shared" si="4"/>
        <v>--</v>
      </c>
      <c r="AA440" s="228"/>
      <c r="AB440" s="228"/>
      <c r="AC440" s="228"/>
      <c r="AD440" s="228"/>
      <c r="AN440" s="22"/>
      <c r="AO440" s="22"/>
      <c r="BF440" s="5"/>
      <c r="BG440" s="5"/>
    </row>
    <row r="441" spans="8:59" ht="13.9" customHeight="1" x14ac:dyDescent="0.2">
      <c r="H441" s="84"/>
      <c r="M441" s="84"/>
      <c r="N441" s="84"/>
      <c r="O441" s="84"/>
      <c r="Q441" s="23"/>
      <c r="R441" s="238"/>
      <c r="S441" s="284" t="str">
        <f>B251</f>
        <v>Rakenteiden purkaminen</v>
      </c>
      <c r="T441" s="281"/>
      <c r="U441" s="281"/>
      <c r="V441" s="281"/>
      <c r="W441" s="281" t="s">
        <v>595</v>
      </c>
      <c r="X441" s="281" t="s">
        <v>350</v>
      </c>
      <c r="Y441" s="282">
        <f>SUM(R262,R258,R254)</f>
        <v>0</v>
      </c>
      <c r="Z441" s="283" t="str">
        <f t="shared" si="4"/>
        <v>--</v>
      </c>
      <c r="AA441" s="228"/>
      <c r="AB441" s="228"/>
      <c r="AC441" s="228"/>
      <c r="AD441" s="228"/>
      <c r="AN441" s="22"/>
      <c r="AO441" s="22"/>
      <c r="BF441" s="5"/>
      <c r="BG441" s="5"/>
    </row>
    <row r="442" spans="8:59" ht="13.9" customHeight="1" x14ac:dyDescent="0.2">
      <c r="H442" s="84"/>
      <c r="M442" s="84"/>
      <c r="N442" s="84"/>
      <c r="O442" s="84"/>
      <c r="Q442" s="23"/>
      <c r="R442" s="238"/>
      <c r="S442" s="284" t="str">
        <f>B266</f>
        <v>Poistettavien rakenteiden ja puhdistukseen päättämiseen liittyvien materiaalien kuljetukset</v>
      </c>
      <c r="T442" s="281"/>
      <c r="U442" s="281"/>
      <c r="V442" s="281"/>
      <c r="W442" s="281" t="s">
        <v>662</v>
      </c>
      <c r="X442" s="281" t="s">
        <v>350</v>
      </c>
      <c r="Y442" s="282">
        <f>SUM(Y443:Y444)</f>
        <v>0</v>
      </c>
      <c r="Z442" s="283" t="str">
        <f t="shared" si="4"/>
        <v>--</v>
      </c>
      <c r="AA442" s="228"/>
      <c r="AB442" s="228"/>
      <c r="AC442" s="228"/>
      <c r="AD442" s="228"/>
      <c r="AN442" s="22"/>
      <c r="AO442" s="22"/>
      <c r="BF442" s="5"/>
      <c r="BG442" s="5"/>
    </row>
    <row r="443" spans="8:59" ht="13.9" customHeight="1" x14ac:dyDescent="0.2">
      <c r="H443" s="84"/>
      <c r="M443" s="84"/>
      <c r="N443" s="84"/>
      <c r="O443" s="84"/>
      <c r="Q443" s="23"/>
      <c r="R443" s="238"/>
      <c r="S443" s="246" t="s">
        <v>40</v>
      </c>
      <c r="T443" s="228"/>
      <c r="U443" s="228"/>
      <c r="V443" s="228"/>
      <c r="W443" s="228" t="s">
        <v>40</v>
      </c>
      <c r="X443" s="228" t="s">
        <v>350</v>
      </c>
      <c r="Y443" s="229">
        <f>SUM(AB269,AB274,AB279,AB284,AB289)</f>
        <v>0</v>
      </c>
      <c r="Z443" s="277" t="str">
        <f t="shared" si="4"/>
        <v>--</v>
      </c>
      <c r="AA443" s="228"/>
      <c r="AB443" s="228"/>
      <c r="AC443" s="228"/>
      <c r="AD443" s="228"/>
      <c r="AN443" s="22"/>
      <c r="AO443" s="22"/>
      <c r="BF443" s="5"/>
      <c r="BG443" s="5"/>
    </row>
    <row r="444" spans="8:59" ht="13.9" customHeight="1" x14ac:dyDescent="0.2">
      <c r="H444" s="84"/>
      <c r="M444" s="84"/>
      <c r="N444" s="84"/>
      <c r="O444" s="84"/>
      <c r="Q444" s="23"/>
      <c r="R444" s="238"/>
      <c r="S444" s="246" t="s">
        <v>577</v>
      </c>
      <c r="T444" s="228"/>
      <c r="U444" s="228"/>
      <c r="V444" s="228"/>
      <c r="W444" s="228" t="s">
        <v>40</v>
      </c>
      <c r="X444" s="228" t="s">
        <v>350</v>
      </c>
      <c r="Y444" s="229">
        <f>SUM(AG269,AG274,AG279,AG284,AG289)</f>
        <v>0</v>
      </c>
      <c r="Z444" s="277" t="str">
        <f t="shared" si="4"/>
        <v>--</v>
      </c>
      <c r="AA444" s="228"/>
      <c r="AB444" s="228"/>
      <c r="AC444" s="228"/>
      <c r="AD444" s="228"/>
      <c r="AN444" s="22"/>
      <c r="AO444" s="22"/>
      <c r="BF444" s="5"/>
      <c r="BG444" s="5"/>
    </row>
    <row r="445" spans="8:59" ht="13.9" customHeight="1" x14ac:dyDescent="0.2">
      <c r="H445" s="84"/>
      <c r="M445" s="84"/>
      <c r="N445" s="84"/>
      <c r="O445" s="84"/>
      <c r="Q445" s="23"/>
      <c r="R445" s="238"/>
      <c r="S445" s="284" t="str">
        <f>B296</f>
        <v>Jätteiden loppusijoitus</v>
      </c>
      <c r="T445" s="281"/>
      <c r="U445" s="281"/>
      <c r="V445" s="281"/>
      <c r="W445" s="281" t="s">
        <v>688</v>
      </c>
      <c r="X445" s="281" t="s">
        <v>350</v>
      </c>
      <c r="Y445" s="282">
        <f>SUM(Y446:Y447)</f>
        <v>0</v>
      </c>
      <c r="Z445" s="283" t="str">
        <f t="shared" si="4"/>
        <v>--</v>
      </c>
      <c r="AA445" s="228"/>
      <c r="AB445" s="228"/>
      <c r="AC445" s="228"/>
      <c r="AD445" s="228"/>
      <c r="AN445" s="22"/>
      <c r="AO445" s="22"/>
      <c r="BF445" s="5"/>
      <c r="BG445" s="5"/>
    </row>
    <row r="446" spans="8:59" ht="13.9" customHeight="1" x14ac:dyDescent="0.2">
      <c r="H446" s="84"/>
      <c r="M446" s="84"/>
      <c r="N446" s="84"/>
      <c r="O446" s="84"/>
      <c r="Q446" s="23"/>
      <c r="R446" s="238"/>
      <c r="S446" s="246" t="str">
        <f>B298</f>
        <v>Poistettujen kertakäyttöisten rakenteiden ja materiaalien jatkokäsittely (pl. maa-ainekset)</v>
      </c>
      <c r="T446" s="228"/>
      <c r="U446" s="228"/>
      <c r="V446" s="228"/>
      <c r="W446" s="228" t="s">
        <v>600</v>
      </c>
      <c r="X446" s="228" t="s">
        <v>350</v>
      </c>
      <c r="Y446" s="229">
        <f>SUM(R300,R303,R306,R309,R312,R315)</f>
        <v>0</v>
      </c>
      <c r="Z446" s="277" t="str">
        <f t="shared" si="4"/>
        <v>--</v>
      </c>
      <c r="AA446" s="228"/>
      <c r="AB446" s="228"/>
      <c r="AC446" s="228"/>
      <c r="AD446" s="228"/>
      <c r="AN446" s="22"/>
      <c r="AO446" s="22"/>
      <c r="BF446" s="5"/>
      <c r="BG446" s="5"/>
    </row>
    <row r="447" spans="8:59" ht="13.9" customHeight="1" x14ac:dyDescent="0.2">
      <c r="H447" s="84"/>
      <c r="M447" s="84"/>
      <c r="N447" s="84"/>
      <c r="O447" s="84"/>
      <c r="Q447" s="23"/>
      <c r="R447" s="238"/>
      <c r="S447" s="246" t="str">
        <f>B319</f>
        <v>Poistetun maan jatkokäsittely vastaanottopaikassa</v>
      </c>
      <c r="T447" s="228"/>
      <c r="U447" s="228"/>
      <c r="V447" s="228"/>
      <c r="W447" s="228" t="s">
        <v>600</v>
      </c>
      <c r="X447" s="228" t="s">
        <v>350</v>
      </c>
      <c r="Y447" s="229">
        <f>SUM(R321,R323)</f>
        <v>0</v>
      </c>
      <c r="Z447" s="277" t="str">
        <f t="shared" si="4"/>
        <v>--</v>
      </c>
      <c r="AA447" s="228"/>
      <c r="AB447" s="228"/>
      <c r="AC447" s="228"/>
      <c r="AD447" s="228"/>
      <c r="AN447" s="22"/>
      <c r="AO447" s="22"/>
      <c r="BF447" s="5"/>
      <c r="BG447" s="5"/>
    </row>
    <row r="448" spans="8:59" ht="13.9" customHeight="1" x14ac:dyDescent="0.2">
      <c r="H448" s="84"/>
      <c r="M448" s="84"/>
      <c r="N448" s="84"/>
      <c r="O448" s="84"/>
      <c r="Q448" s="23"/>
      <c r="R448" s="238"/>
      <c r="S448" s="22"/>
      <c r="T448" s="228"/>
      <c r="U448" s="228"/>
      <c r="V448" s="228"/>
      <c r="W448" s="228"/>
      <c r="X448" s="228"/>
      <c r="Y448" s="229"/>
      <c r="Z448" s="277"/>
      <c r="AA448" s="228"/>
      <c r="AB448" s="228"/>
      <c r="AC448" s="228"/>
      <c r="AD448" s="228"/>
      <c r="AN448" s="22"/>
      <c r="AO448" s="22"/>
      <c r="BF448" s="5"/>
      <c r="BG448" s="5"/>
    </row>
    <row r="449" spans="8:59" ht="13.9" customHeight="1" x14ac:dyDescent="0.2">
      <c r="H449" s="84"/>
      <c r="M449" s="84"/>
      <c r="N449" s="84"/>
      <c r="O449" s="84"/>
      <c r="Q449" s="23"/>
      <c r="R449" s="238"/>
      <c r="S449" s="361" t="s">
        <v>583</v>
      </c>
      <c r="T449" s="228"/>
      <c r="U449" s="228"/>
      <c r="V449" s="228"/>
      <c r="W449" s="228"/>
      <c r="X449" s="228"/>
      <c r="Y449" s="392">
        <f>SUM(Y445,Y441:Y442,Y430:Y437,Y426:Y427,Y422:Y423,Y418,Y411)</f>
        <v>0</v>
      </c>
      <c r="Z449" s="393">
        <f>SUM(Z445,Z441:Z442,Z430:Z437,Z426:Z427,Z422:Z423,Z418,Z411)</f>
        <v>0</v>
      </c>
      <c r="AA449" s="228"/>
      <c r="AB449" s="228"/>
      <c r="AC449" s="228"/>
      <c r="AD449" s="228"/>
      <c r="AN449" s="22"/>
      <c r="AO449" s="22"/>
      <c r="BF449" s="5"/>
      <c r="BG449" s="5"/>
    </row>
    <row r="450" spans="8:59" ht="13.9" hidden="1" customHeight="1" x14ac:dyDescent="0.2">
      <c r="H450" s="84"/>
      <c r="M450" s="84"/>
      <c r="N450" s="84"/>
      <c r="O450" s="84"/>
      <c r="Q450" s="23"/>
      <c r="R450" s="238"/>
      <c r="S450" s="99"/>
      <c r="T450" s="228"/>
      <c r="U450" s="228"/>
      <c r="V450" s="228"/>
      <c r="W450" s="228"/>
      <c r="X450" s="228"/>
      <c r="Y450" s="229"/>
      <c r="Z450" s="228"/>
      <c r="AA450" s="228"/>
      <c r="AB450" s="228"/>
      <c r="AC450" s="228"/>
      <c r="AD450" s="228"/>
      <c r="AN450" s="22"/>
      <c r="AO450" s="22"/>
      <c r="BF450" s="5"/>
      <c r="BG450" s="5"/>
    </row>
    <row r="451" spans="8:59" ht="13.9" hidden="1" customHeight="1" x14ac:dyDescent="0.2">
      <c r="H451" s="84"/>
      <c r="M451" s="84"/>
      <c r="N451" s="84"/>
      <c r="O451" s="84"/>
      <c r="Q451" s="23"/>
      <c r="R451" s="238"/>
      <c r="S451" s="99"/>
      <c r="T451" s="228"/>
      <c r="U451" s="228"/>
      <c r="V451" s="228"/>
      <c r="W451" s="228"/>
      <c r="X451" s="228"/>
      <c r="Y451" s="229"/>
      <c r="Z451" s="228"/>
      <c r="AA451" s="228"/>
      <c r="AB451" s="228"/>
      <c r="AC451" s="228"/>
      <c r="AD451" s="228"/>
      <c r="AN451" s="22"/>
      <c r="AO451" s="22"/>
      <c r="BF451" s="5"/>
      <c r="BG451" s="5"/>
    </row>
    <row r="452" spans="8:59" ht="13.9" hidden="1" customHeight="1" x14ac:dyDescent="0.2">
      <c r="H452" s="84"/>
      <c r="M452" s="84"/>
      <c r="N452" s="84"/>
      <c r="O452" s="84"/>
      <c r="Q452" s="23"/>
      <c r="R452" s="238"/>
      <c r="S452" s="99"/>
      <c r="T452" s="228"/>
      <c r="U452" s="228"/>
      <c r="V452" s="228"/>
      <c r="W452" s="228"/>
      <c r="X452" s="228"/>
      <c r="Y452" s="229"/>
      <c r="Z452" s="228"/>
      <c r="AA452" s="228"/>
      <c r="AB452" s="228"/>
      <c r="AC452" s="228"/>
      <c r="AD452" s="228"/>
      <c r="AN452" s="22"/>
      <c r="AO452" s="22"/>
      <c r="BF452" s="5"/>
      <c r="BG452" s="5"/>
    </row>
    <row r="453" spans="8:59" ht="13.9" hidden="1" customHeight="1" x14ac:dyDescent="0.2">
      <c r="H453" s="84"/>
      <c r="M453" s="84"/>
      <c r="N453" s="84"/>
      <c r="O453" s="84"/>
      <c r="Q453" s="23"/>
      <c r="R453" s="238"/>
      <c r="S453" s="99"/>
      <c r="T453" s="228"/>
      <c r="U453" s="228"/>
      <c r="V453" s="228"/>
      <c r="W453" s="228"/>
      <c r="X453" s="228"/>
      <c r="Y453" s="229"/>
      <c r="Z453" s="228"/>
      <c r="AA453" s="228"/>
      <c r="AB453" s="228"/>
      <c r="AC453" s="228"/>
      <c r="AD453" s="228"/>
      <c r="AN453" s="22"/>
      <c r="AO453" s="22"/>
      <c r="BF453" s="5"/>
      <c r="BG453" s="5"/>
    </row>
    <row r="454" spans="8:59" ht="13.9" hidden="1" customHeight="1" x14ac:dyDescent="0.2">
      <c r="H454" s="84"/>
      <c r="M454" s="84"/>
      <c r="N454" s="84"/>
      <c r="O454" s="84"/>
      <c r="Q454" s="23"/>
      <c r="R454" s="238"/>
      <c r="S454" s="99"/>
      <c r="T454" s="228"/>
      <c r="U454" s="228"/>
      <c r="V454" s="228"/>
      <c r="W454" s="228"/>
      <c r="X454" s="228"/>
      <c r="Y454" s="229"/>
      <c r="Z454" s="228"/>
      <c r="AA454" s="228"/>
      <c r="AB454" s="228"/>
      <c r="AC454" s="228"/>
      <c r="AD454" s="228"/>
      <c r="AN454" s="22"/>
      <c r="AO454" s="22"/>
      <c r="BF454" s="5"/>
      <c r="BG454" s="5"/>
    </row>
    <row r="455" spans="8:59" ht="13.9" hidden="1" customHeight="1" x14ac:dyDescent="0.2">
      <c r="H455" s="84"/>
      <c r="M455" s="84"/>
      <c r="N455" s="84"/>
      <c r="O455" s="84"/>
      <c r="Q455" s="23"/>
      <c r="R455" s="238"/>
      <c r="S455" s="99"/>
      <c r="T455" s="228"/>
      <c r="U455" s="228"/>
      <c r="V455" s="228"/>
      <c r="W455" s="228"/>
      <c r="X455" s="228"/>
      <c r="Y455" s="229"/>
      <c r="Z455" s="228"/>
      <c r="AA455" s="228"/>
      <c r="AB455" s="228"/>
      <c r="AC455" s="228"/>
      <c r="AD455" s="228"/>
      <c r="AN455" s="22"/>
      <c r="AO455" s="22"/>
      <c r="BF455" s="5"/>
      <c r="BG455" s="5"/>
    </row>
    <row r="456" spans="8:59" ht="13.9" hidden="1" customHeight="1" x14ac:dyDescent="0.2">
      <c r="H456" s="84"/>
      <c r="M456" s="84"/>
      <c r="N456" s="84"/>
      <c r="O456" s="84"/>
      <c r="Q456" s="23"/>
      <c r="R456" s="238"/>
      <c r="S456" s="99"/>
      <c r="T456" s="228"/>
      <c r="U456" s="228"/>
      <c r="V456" s="228"/>
      <c r="W456" s="228"/>
      <c r="X456" s="228"/>
      <c r="Y456" s="229"/>
      <c r="Z456" s="228"/>
      <c r="AA456" s="228"/>
      <c r="AB456" s="228"/>
      <c r="AC456" s="228"/>
      <c r="AD456" s="228"/>
      <c r="AN456" s="22"/>
      <c r="AO456" s="22"/>
      <c r="BF456" s="5"/>
      <c r="BG456" s="5"/>
    </row>
    <row r="457" spans="8:59" ht="13.9" hidden="1" customHeight="1" x14ac:dyDescent="0.2">
      <c r="H457" s="84"/>
      <c r="M457" s="84"/>
      <c r="N457" s="84"/>
      <c r="O457" s="84"/>
      <c r="Q457" s="23"/>
      <c r="R457" s="238"/>
      <c r="S457" s="99"/>
      <c r="T457" s="228"/>
      <c r="U457" s="228"/>
      <c r="V457" s="228"/>
      <c r="W457" s="228"/>
      <c r="X457" s="228"/>
      <c r="Y457" s="229"/>
      <c r="Z457" s="228"/>
      <c r="AA457" s="228"/>
      <c r="AB457" s="228"/>
      <c r="AC457" s="228"/>
      <c r="AD457" s="228"/>
      <c r="AN457" s="22"/>
      <c r="AO457" s="22"/>
      <c r="BF457" s="5"/>
      <c r="BG457" s="5"/>
    </row>
    <row r="458" spans="8:59" ht="13.9" hidden="1" customHeight="1" x14ac:dyDescent="0.2">
      <c r="H458" s="84"/>
      <c r="M458" s="84"/>
      <c r="N458" s="84"/>
      <c r="O458" s="84"/>
      <c r="Q458" s="23"/>
      <c r="R458" s="238"/>
      <c r="S458" s="99"/>
      <c r="T458" s="228"/>
      <c r="U458" s="228"/>
      <c r="V458" s="228"/>
      <c r="W458" s="228"/>
      <c r="X458" s="228"/>
      <c r="Y458" s="229"/>
      <c r="Z458" s="228"/>
      <c r="AA458" s="228"/>
      <c r="AB458" s="228"/>
      <c r="AC458" s="228"/>
      <c r="AD458" s="228"/>
      <c r="AN458" s="22"/>
      <c r="AO458" s="22"/>
      <c r="BF458" s="5"/>
      <c r="BG458" s="5"/>
    </row>
    <row r="459" spans="8:59" ht="13.9" hidden="1" customHeight="1" x14ac:dyDescent="0.2">
      <c r="H459" s="84"/>
      <c r="M459" s="84"/>
      <c r="N459" s="84"/>
      <c r="O459" s="84"/>
      <c r="Q459" s="23"/>
      <c r="R459" s="238"/>
      <c r="S459" s="99"/>
      <c r="T459" s="228"/>
      <c r="U459" s="228"/>
      <c r="V459" s="228"/>
      <c r="W459" s="228"/>
      <c r="X459" s="228"/>
      <c r="Y459" s="229"/>
      <c r="Z459" s="228"/>
      <c r="AA459" s="228"/>
      <c r="AB459" s="228"/>
      <c r="AC459" s="228"/>
      <c r="AD459" s="228"/>
      <c r="AN459" s="22"/>
      <c r="AO459" s="22"/>
      <c r="BF459" s="5"/>
      <c r="BG459" s="5"/>
    </row>
    <row r="460" spans="8:59" ht="13.9" hidden="1" customHeight="1" x14ac:dyDescent="0.2">
      <c r="H460" s="84"/>
      <c r="M460" s="84"/>
      <c r="N460" s="84"/>
      <c r="O460" s="84"/>
      <c r="Q460" s="23"/>
      <c r="R460" s="238"/>
      <c r="S460" s="99"/>
      <c r="T460" s="228"/>
      <c r="U460" s="228"/>
      <c r="V460" s="228"/>
      <c r="W460" s="228"/>
      <c r="X460" s="228"/>
      <c r="Y460" s="229"/>
      <c r="Z460" s="228"/>
      <c r="AA460" s="228"/>
      <c r="AB460" s="228"/>
      <c r="AC460" s="228"/>
      <c r="AD460" s="228"/>
      <c r="AN460" s="22"/>
      <c r="AO460" s="22"/>
      <c r="BF460" s="5"/>
      <c r="BG460" s="5"/>
    </row>
    <row r="461" spans="8:59" ht="13.9" hidden="1" customHeight="1" x14ac:dyDescent="0.2">
      <c r="H461" s="84"/>
      <c r="M461" s="84"/>
      <c r="N461" s="84"/>
      <c r="O461" s="84"/>
      <c r="Q461" s="23"/>
      <c r="R461" s="238"/>
      <c r="S461" s="99"/>
      <c r="T461" s="228"/>
      <c r="U461" s="228"/>
      <c r="V461" s="228"/>
      <c r="W461" s="228"/>
      <c r="X461" s="228"/>
      <c r="Y461" s="229"/>
      <c r="Z461" s="228"/>
      <c r="AA461" s="228"/>
      <c r="AB461" s="228"/>
      <c r="AC461" s="228"/>
      <c r="AD461" s="228"/>
      <c r="AN461" s="22"/>
      <c r="AO461" s="22"/>
      <c r="BF461" s="5"/>
      <c r="BG461" s="5"/>
    </row>
    <row r="462" spans="8:59" ht="13.9" hidden="1" customHeight="1" x14ac:dyDescent="0.2">
      <c r="H462" s="84"/>
      <c r="M462" s="84"/>
      <c r="N462" s="84"/>
      <c r="O462" s="84"/>
      <c r="Q462" s="23"/>
      <c r="R462" s="238"/>
      <c r="S462" s="99"/>
      <c r="T462" s="228"/>
      <c r="U462" s="228"/>
      <c r="V462" s="228"/>
      <c r="W462" s="228"/>
      <c r="X462" s="228"/>
      <c r="Y462" s="229"/>
      <c r="Z462" s="228"/>
      <c r="AA462" s="228"/>
      <c r="AB462" s="228"/>
      <c r="AC462" s="228"/>
      <c r="AD462" s="228"/>
      <c r="AN462" s="22"/>
      <c r="AO462" s="22"/>
      <c r="BF462" s="5"/>
      <c r="BG462" s="5"/>
    </row>
    <row r="463" spans="8:59" ht="13.9" hidden="1" customHeight="1" x14ac:dyDescent="0.2">
      <c r="H463" s="84"/>
      <c r="M463" s="84"/>
      <c r="N463" s="84"/>
      <c r="O463" s="84"/>
      <c r="Q463" s="23"/>
      <c r="R463" s="238"/>
      <c r="S463" s="99"/>
      <c r="T463" s="228"/>
      <c r="U463" s="228"/>
      <c r="V463" s="228"/>
      <c r="W463" s="228"/>
      <c r="X463" s="228"/>
      <c r="Y463" s="229"/>
      <c r="Z463" s="228"/>
      <c r="AA463" s="228"/>
      <c r="AB463" s="228"/>
      <c r="AC463" s="228"/>
      <c r="AD463" s="228"/>
      <c r="AN463" s="22"/>
      <c r="AO463" s="22"/>
      <c r="BF463" s="5"/>
      <c r="BG463" s="5"/>
    </row>
    <row r="464" spans="8:59" ht="13.9" hidden="1" customHeight="1" x14ac:dyDescent="0.2">
      <c r="H464" s="84"/>
      <c r="M464" s="84"/>
      <c r="N464" s="84"/>
      <c r="O464" s="84"/>
      <c r="Q464" s="23"/>
      <c r="R464" s="238"/>
      <c r="S464" s="99"/>
      <c r="T464" s="228"/>
      <c r="U464" s="228"/>
      <c r="V464" s="228"/>
      <c r="W464" s="228"/>
      <c r="X464" s="228"/>
      <c r="Y464" s="229"/>
      <c r="Z464" s="228"/>
      <c r="AA464" s="228"/>
      <c r="AB464" s="228"/>
      <c r="AC464" s="228"/>
      <c r="AD464" s="228"/>
      <c r="AN464" s="22"/>
      <c r="AO464" s="22"/>
      <c r="BF464" s="5"/>
      <c r="BG464" s="5"/>
    </row>
    <row r="465" spans="8:59" ht="13.9" customHeight="1" x14ac:dyDescent="0.2">
      <c r="H465" s="84"/>
      <c r="M465" s="84"/>
      <c r="N465" s="84"/>
      <c r="O465" s="84"/>
      <c r="Q465" s="23"/>
      <c r="R465" s="238"/>
      <c r="S465" s="99"/>
      <c r="T465" s="228"/>
      <c r="U465" s="228"/>
      <c r="V465" s="228"/>
      <c r="W465" s="228"/>
      <c r="X465" s="228"/>
      <c r="Y465" s="229"/>
      <c r="Z465" s="228"/>
      <c r="AA465" s="228"/>
      <c r="AB465" s="228"/>
      <c r="AC465" s="228"/>
      <c r="AD465" s="228"/>
      <c r="AN465" s="22"/>
      <c r="AO465" s="22"/>
      <c r="BF465" s="5"/>
      <c r="BG465" s="5"/>
    </row>
    <row r="466" spans="8:59" ht="13.9" customHeight="1" x14ac:dyDescent="0.2">
      <c r="H466" s="84"/>
      <c r="M466" s="84"/>
      <c r="N466" s="84"/>
      <c r="O466" s="84"/>
      <c r="Q466" s="23"/>
      <c r="R466" s="238"/>
      <c r="S466" s="99" t="s">
        <v>594</v>
      </c>
      <c r="T466" s="228"/>
      <c r="U466" s="229">
        <f t="shared" ref="U466:U471" si="5">SUMIFS($Y$411:$Y$447,$W$411:$W$447,S466)</f>
        <v>0</v>
      </c>
      <c r="V466" s="277" t="str">
        <f>IF(ISERROR(U466/$U$472),"--",U466/$U$472)</f>
        <v>--</v>
      </c>
      <c r="W466" s="228"/>
      <c r="X466" s="228"/>
      <c r="Y466" s="228"/>
      <c r="Z466" s="228"/>
      <c r="AA466" s="228"/>
      <c r="AB466" s="228"/>
      <c r="AC466" s="228"/>
      <c r="AD466" s="228"/>
      <c r="AN466" s="22"/>
      <c r="AO466" s="22"/>
      <c r="BF466" s="5"/>
      <c r="BG466" s="5"/>
    </row>
    <row r="467" spans="8:59" ht="13.9" customHeight="1" x14ac:dyDescent="0.2">
      <c r="H467" s="84"/>
      <c r="M467" s="84"/>
      <c r="N467" s="84"/>
      <c r="O467" s="84"/>
      <c r="Q467" s="23"/>
      <c r="R467" s="238"/>
      <c r="S467" s="99" t="s">
        <v>40</v>
      </c>
      <c r="T467" s="228"/>
      <c r="U467" s="229">
        <f t="shared" si="5"/>
        <v>0</v>
      </c>
      <c r="V467" s="277" t="str">
        <f t="shared" ref="V467:V472" si="6">IF(ISERROR(U467/$U$472),"--",U467/$U$472)</f>
        <v>--</v>
      </c>
      <c r="W467" s="228"/>
      <c r="X467" s="228"/>
      <c r="Y467" s="228"/>
      <c r="Z467" s="228"/>
      <c r="AA467" s="228"/>
      <c r="AB467" s="228"/>
      <c r="AC467" s="228"/>
      <c r="AD467" s="228"/>
      <c r="AN467" s="22"/>
      <c r="AO467" s="22"/>
      <c r="BF467" s="5"/>
      <c r="BG467" s="5"/>
    </row>
    <row r="468" spans="8:59" ht="13.9" customHeight="1" x14ac:dyDescent="0.2">
      <c r="H468" s="84"/>
      <c r="M468" s="84"/>
      <c r="N468" s="84"/>
      <c r="O468" s="84"/>
      <c r="Q468" s="23"/>
      <c r="R468" s="238"/>
      <c r="S468" s="99" t="s">
        <v>595</v>
      </c>
      <c r="T468" s="228"/>
      <c r="U468" s="229">
        <f t="shared" si="5"/>
        <v>0</v>
      </c>
      <c r="V468" s="277" t="str">
        <f t="shared" si="6"/>
        <v>--</v>
      </c>
      <c r="W468" s="228"/>
      <c r="X468" s="228"/>
      <c r="Y468" s="228"/>
      <c r="Z468" s="228"/>
      <c r="AA468" s="228"/>
      <c r="AB468" s="228"/>
      <c r="AC468" s="228"/>
      <c r="AD468" s="228"/>
      <c r="AN468" s="22"/>
      <c r="AO468" s="22"/>
      <c r="BF468" s="5"/>
      <c r="BG468" s="5"/>
    </row>
    <row r="469" spans="8:59" ht="13.9" customHeight="1" x14ac:dyDescent="0.2">
      <c r="H469" s="84"/>
      <c r="M469" s="84"/>
      <c r="N469" s="84"/>
      <c r="O469" s="84"/>
      <c r="Q469" s="23"/>
      <c r="R469" s="238"/>
      <c r="S469" s="99" t="s">
        <v>683</v>
      </c>
      <c r="T469" s="228"/>
      <c r="U469" s="229">
        <f t="shared" si="5"/>
        <v>0</v>
      </c>
      <c r="V469" s="277" t="str">
        <f t="shared" si="6"/>
        <v>--</v>
      </c>
      <c r="W469" s="228"/>
      <c r="X469" s="228"/>
      <c r="Y469" s="228"/>
      <c r="Z469" s="228"/>
      <c r="AA469" s="228"/>
      <c r="AB469" s="228"/>
      <c r="AC469" s="228"/>
      <c r="AD469" s="228"/>
      <c r="AN469" s="22"/>
      <c r="AO469" s="22"/>
      <c r="BF469" s="5"/>
      <c r="BG469" s="5"/>
    </row>
    <row r="470" spans="8:59" ht="13.9" customHeight="1" x14ac:dyDescent="0.2">
      <c r="H470" s="84"/>
      <c r="M470" s="84"/>
      <c r="N470" s="84"/>
      <c r="O470" s="84"/>
      <c r="Q470" s="23"/>
      <c r="R470" s="238"/>
      <c r="S470" s="99" t="s">
        <v>600</v>
      </c>
      <c r="T470" s="228"/>
      <c r="U470" s="229">
        <f t="shared" si="5"/>
        <v>0</v>
      </c>
      <c r="V470" s="277" t="str">
        <f t="shared" si="6"/>
        <v>--</v>
      </c>
      <c r="W470" s="228"/>
      <c r="X470" s="228"/>
      <c r="Y470" s="228"/>
      <c r="Z470" s="228"/>
      <c r="AA470" s="228"/>
      <c r="AB470" s="228"/>
      <c r="AC470" s="228"/>
      <c r="AD470" s="228"/>
      <c r="AN470" s="22"/>
      <c r="AO470" s="22"/>
      <c r="BF470" s="5"/>
      <c r="BG470" s="5"/>
    </row>
    <row r="471" spans="8:59" ht="13.9" customHeight="1" x14ac:dyDescent="0.2">
      <c r="H471" s="84"/>
      <c r="M471" s="84"/>
      <c r="N471" s="84"/>
      <c r="O471" s="84"/>
      <c r="Q471" s="23"/>
      <c r="R471" s="238"/>
      <c r="S471" s="99" t="s">
        <v>601</v>
      </c>
      <c r="T471" s="228"/>
      <c r="U471" s="229">
        <f t="shared" si="5"/>
        <v>0</v>
      </c>
      <c r="V471" s="277" t="str">
        <f t="shared" si="6"/>
        <v>--</v>
      </c>
      <c r="W471" s="228"/>
      <c r="X471" s="228"/>
      <c r="Y471" s="228"/>
      <c r="Z471" s="228"/>
      <c r="AA471" s="228"/>
      <c r="AB471" s="228"/>
      <c r="AC471" s="228"/>
      <c r="AD471" s="228"/>
      <c r="AN471" s="22"/>
      <c r="AO471" s="22"/>
      <c r="BF471" s="5"/>
      <c r="BG471" s="5"/>
    </row>
    <row r="472" spans="8:59" ht="13.9" customHeight="1" x14ac:dyDescent="0.2">
      <c r="H472" s="84"/>
      <c r="M472" s="84"/>
      <c r="N472" s="84"/>
      <c r="O472" s="84"/>
      <c r="Q472" s="23"/>
      <c r="R472" s="238"/>
      <c r="S472" s="99" t="s">
        <v>605</v>
      </c>
      <c r="T472" s="228"/>
      <c r="U472" s="229">
        <f>SUM(U466:U471)</f>
        <v>0</v>
      </c>
      <c r="V472" s="277" t="str">
        <f t="shared" si="6"/>
        <v>--</v>
      </c>
      <c r="W472" s="228"/>
      <c r="X472" s="228"/>
      <c r="Y472" s="228"/>
      <c r="Z472" s="228"/>
      <c r="AA472" s="228"/>
      <c r="AB472" s="228"/>
      <c r="AC472" s="228"/>
      <c r="AD472" s="228"/>
      <c r="AN472" s="22"/>
      <c r="AO472" s="22"/>
      <c r="BF472" s="5"/>
      <c r="BG472" s="5"/>
    </row>
    <row r="474" spans="8:59" ht="13.9" customHeight="1" x14ac:dyDescent="0.2">
      <c r="H474" s="84"/>
      <c r="M474" s="84"/>
      <c r="N474" s="84"/>
      <c r="O474" s="84"/>
      <c r="Q474" s="23"/>
      <c r="R474" s="238"/>
      <c r="S474" s="361" t="s">
        <v>686</v>
      </c>
      <c r="T474" s="228"/>
      <c r="U474" s="228"/>
      <c r="V474" s="228"/>
      <c r="W474" s="228"/>
      <c r="X474" s="228"/>
      <c r="Y474" s="228"/>
      <c r="Z474" s="228"/>
      <c r="AA474" s="228"/>
      <c r="AB474" s="228"/>
      <c r="AC474" s="228"/>
      <c r="AD474" s="228"/>
      <c r="AN474" s="22"/>
      <c r="AO474" s="22"/>
      <c r="BF474" s="5"/>
      <c r="BG474" s="5"/>
    </row>
    <row r="475" spans="8:59" ht="13.9" customHeight="1" x14ac:dyDescent="0.2">
      <c r="H475" s="84"/>
      <c r="M475" s="84"/>
      <c r="N475" s="84"/>
      <c r="O475" s="84"/>
      <c r="Q475" s="23"/>
      <c r="R475" s="238"/>
      <c r="S475" s="284" t="s">
        <v>597</v>
      </c>
      <c r="T475" s="281"/>
      <c r="U475" s="281"/>
      <c r="V475" s="281"/>
      <c r="W475" s="281"/>
      <c r="X475" s="281"/>
      <c r="Y475" s="282">
        <f>SUM(Y476)</f>
        <v>0</v>
      </c>
      <c r="Z475" s="283"/>
      <c r="AA475" s="228"/>
      <c r="AB475" s="228"/>
      <c r="AC475" s="228"/>
      <c r="AD475" s="228"/>
      <c r="AN475" s="22"/>
      <c r="AO475" s="22"/>
      <c r="BF475" s="5"/>
      <c r="BG475" s="5"/>
    </row>
    <row r="476" spans="8:59" ht="13.9" customHeight="1" x14ac:dyDescent="0.2">
      <c r="H476" s="84"/>
      <c r="M476" s="84"/>
      <c r="N476" s="84"/>
      <c r="O476" s="84"/>
      <c r="Q476" s="23"/>
      <c r="R476" s="238"/>
      <c r="S476" s="246" t="s">
        <v>572</v>
      </c>
      <c r="T476" s="228"/>
      <c r="U476" s="228"/>
      <c r="V476" s="228"/>
      <c r="W476" s="228" t="s">
        <v>604</v>
      </c>
      <c r="X476" s="228" t="s">
        <v>573</v>
      </c>
      <c r="Y476" s="229">
        <f>SUM(R30)</f>
        <v>0</v>
      </c>
      <c r="Z476" s="277" t="str">
        <f>IF(ISERROR(Y476/$Y$449),"--",Y476/$Y$449)</f>
        <v>--</v>
      </c>
      <c r="AA476" s="228"/>
      <c r="AB476" s="228"/>
      <c r="AC476" s="228"/>
      <c r="AD476" s="228"/>
      <c r="AN476" s="22"/>
      <c r="AO476" s="22"/>
      <c r="BF476" s="5"/>
      <c r="BG476" s="5"/>
    </row>
    <row r="477" spans="8:59" ht="13.9" customHeight="1" x14ac:dyDescent="0.2">
      <c r="H477" s="84"/>
      <c r="M477" s="84"/>
      <c r="N477" s="84"/>
      <c r="O477" s="84"/>
      <c r="Q477" s="23"/>
      <c r="R477" s="238"/>
      <c r="S477" s="99" t="s">
        <v>598</v>
      </c>
      <c r="T477" s="228"/>
      <c r="U477" s="228"/>
      <c r="V477" s="228"/>
      <c r="W477" s="228"/>
      <c r="X477" s="228"/>
      <c r="Y477" s="228" t="s">
        <v>599</v>
      </c>
      <c r="Z477" s="228"/>
      <c r="AA477" s="228"/>
      <c r="AB477" s="228"/>
      <c r="AC477" s="228"/>
      <c r="AD477" s="228"/>
      <c r="AN477" s="22"/>
      <c r="AO477" s="22"/>
      <c r="BF477" s="5"/>
      <c r="BG477" s="5"/>
    </row>
    <row r="478" spans="8:59" ht="13.9" customHeight="1" x14ac:dyDescent="0.2">
      <c r="H478" s="84"/>
      <c r="M478" s="84"/>
      <c r="N478" s="84"/>
      <c r="O478" s="84"/>
      <c r="Q478" s="23"/>
      <c r="R478" s="238"/>
      <c r="S478" s="21"/>
      <c r="T478" s="228"/>
      <c r="U478" s="228"/>
      <c r="V478" s="228"/>
      <c r="W478" s="228"/>
      <c r="X478" s="228"/>
      <c r="Y478" s="228"/>
      <c r="Z478" s="228"/>
      <c r="AA478" s="228"/>
      <c r="AB478" s="228"/>
      <c r="AC478" s="228"/>
      <c r="AD478" s="228"/>
      <c r="AN478" s="22"/>
      <c r="AO478" s="22"/>
      <c r="BF478" s="5"/>
      <c r="BG478" s="5"/>
    </row>
    <row r="479" spans="8:59" ht="13.9" customHeight="1" x14ac:dyDescent="0.2">
      <c r="H479" s="84"/>
      <c r="M479" s="84"/>
      <c r="N479" s="84"/>
      <c r="O479" s="84"/>
      <c r="Q479" s="23"/>
      <c r="R479" s="238"/>
      <c r="S479" s="284" t="s">
        <v>351</v>
      </c>
      <c r="T479" s="281"/>
      <c r="U479" s="281"/>
      <c r="V479" s="281"/>
      <c r="W479" s="281" t="s">
        <v>689</v>
      </c>
      <c r="X479" s="281"/>
      <c r="Y479" s="282">
        <f>SUM(Y481,Y480)</f>
        <v>0</v>
      </c>
      <c r="Z479" s="283"/>
      <c r="AA479" s="228"/>
      <c r="AB479" s="228"/>
      <c r="AC479" s="228"/>
      <c r="AD479" s="228"/>
      <c r="AN479" s="22"/>
      <c r="AO479" s="22"/>
      <c r="BF479" s="5"/>
      <c r="BG479" s="5"/>
    </row>
    <row r="480" spans="8:59" ht="13.9" customHeight="1" x14ac:dyDescent="0.2">
      <c r="H480" s="84"/>
      <c r="M480" s="84"/>
      <c r="N480" s="84"/>
      <c r="O480" s="84"/>
      <c r="Q480" s="23"/>
      <c r="R480" s="238"/>
      <c r="S480" s="246" t="s">
        <v>609</v>
      </c>
      <c r="T480" s="228"/>
      <c r="U480" s="228"/>
      <c r="V480" s="228"/>
      <c r="W480" s="228" t="s">
        <v>582</v>
      </c>
      <c r="X480" s="228" t="s">
        <v>350</v>
      </c>
      <c r="Y480" s="229">
        <f>SUM(R304,R305,R307,R308,R310,R311,R313,R314,R316,R317)</f>
        <v>0</v>
      </c>
      <c r="Z480" s="277"/>
      <c r="AA480" s="228"/>
      <c r="AB480" s="228"/>
      <c r="AC480" s="228"/>
      <c r="AD480" s="228"/>
      <c r="AN480" s="22"/>
      <c r="AO480" s="22"/>
      <c r="BF480" s="5"/>
      <c r="BG480" s="5"/>
    </row>
    <row r="481" spans="8:59" ht="13.9" customHeight="1" x14ac:dyDescent="0.2">
      <c r="H481" s="84"/>
      <c r="M481" s="84"/>
      <c r="N481" s="84"/>
      <c r="O481" s="84"/>
      <c r="Q481" s="23"/>
      <c r="R481" s="238"/>
      <c r="S481" s="246" t="s">
        <v>610</v>
      </c>
      <c r="T481" s="228"/>
      <c r="U481" s="228"/>
      <c r="V481" s="228"/>
      <c r="W481" s="228" t="s">
        <v>582</v>
      </c>
      <c r="X481" s="228" t="s">
        <v>350</v>
      </c>
      <c r="Y481" s="229">
        <f>SUM(R324)</f>
        <v>0</v>
      </c>
      <c r="Z481" s="277"/>
      <c r="AA481" s="228"/>
      <c r="AB481" s="228"/>
      <c r="AC481" s="228"/>
      <c r="AD481" s="228"/>
      <c r="AN481" s="22"/>
      <c r="AO481" s="22"/>
      <c r="BF481" s="5"/>
      <c r="BG481" s="5"/>
    </row>
  </sheetData>
  <mergeCells count="65">
    <mergeCell ref="C11:G11"/>
    <mergeCell ref="C40:G40"/>
    <mergeCell ref="C57:G57"/>
    <mergeCell ref="C16:G16"/>
    <mergeCell ref="C21:G21"/>
    <mergeCell ref="C26:D26"/>
    <mergeCell ref="C44:G44"/>
    <mergeCell ref="C48:G48"/>
    <mergeCell ref="C121:D121"/>
    <mergeCell ref="C156:D156"/>
    <mergeCell ref="C159:D159"/>
    <mergeCell ref="C161:D161"/>
    <mergeCell ref="C157:G157"/>
    <mergeCell ref="C160:D160"/>
    <mergeCell ref="C138:D138"/>
    <mergeCell ref="C126:D126"/>
    <mergeCell ref="C129:D129"/>
    <mergeCell ref="C132:D132"/>
    <mergeCell ref="C135:D135"/>
    <mergeCell ref="B143:H143"/>
    <mergeCell ref="B144:H144"/>
    <mergeCell ref="C149:G149"/>
    <mergeCell ref="C151:D151"/>
    <mergeCell ref="C153:D153"/>
    <mergeCell ref="C97:G97"/>
    <mergeCell ref="C102:G102"/>
    <mergeCell ref="C107:G107"/>
    <mergeCell ref="C112:G112"/>
    <mergeCell ref="C117:G117"/>
    <mergeCell ref="C62:G62"/>
    <mergeCell ref="C67:G67"/>
    <mergeCell ref="C72:G72"/>
    <mergeCell ref="C77:G77"/>
    <mergeCell ref="C81:D81"/>
    <mergeCell ref="C152:D152"/>
    <mergeCell ref="C148:D148"/>
    <mergeCell ref="C172:D172"/>
    <mergeCell ref="C173:G173"/>
    <mergeCell ref="C180:D180"/>
    <mergeCell ref="C169:D169"/>
    <mergeCell ref="C168:D168"/>
    <mergeCell ref="C164:D164"/>
    <mergeCell ref="C165:G165"/>
    <mergeCell ref="C167:D167"/>
    <mergeCell ref="C181:G181"/>
    <mergeCell ref="C183:D183"/>
    <mergeCell ref="C176:D176"/>
    <mergeCell ref="C177:D177"/>
    <mergeCell ref="C175:D175"/>
    <mergeCell ref="C290:G290"/>
    <mergeCell ref="C275:G275"/>
    <mergeCell ref="C333:D333"/>
    <mergeCell ref="C245:D245"/>
    <mergeCell ref="C184:D184"/>
    <mergeCell ref="C185:D185"/>
    <mergeCell ref="C258:G258"/>
    <mergeCell ref="C262:G262"/>
    <mergeCell ref="C254:G254"/>
    <mergeCell ref="C191:D191"/>
    <mergeCell ref="C207:D207"/>
    <mergeCell ref="C219:D219"/>
    <mergeCell ref="C231:D231"/>
    <mergeCell ref="C270:G270"/>
    <mergeCell ref="C280:G280"/>
    <mergeCell ref="C285:G285"/>
  </mergeCells>
  <conditionalFormatting sqref="G56">
    <cfRule type="expression" dxfId="57" priority="36">
      <formula>(D56="t")</formula>
    </cfRule>
  </conditionalFormatting>
  <conditionalFormatting sqref="G61">
    <cfRule type="expression" dxfId="56" priority="35">
      <formula>(D61="t")</formula>
    </cfRule>
  </conditionalFormatting>
  <conditionalFormatting sqref="G66">
    <cfRule type="expression" dxfId="55" priority="34">
      <formula>(D66="t")</formula>
    </cfRule>
  </conditionalFormatting>
  <conditionalFormatting sqref="G71">
    <cfRule type="expression" dxfId="54" priority="33">
      <formula>(D71="t")</formula>
    </cfRule>
  </conditionalFormatting>
  <conditionalFormatting sqref="G76">
    <cfRule type="expression" dxfId="53" priority="32">
      <formula>(D76="t")</formula>
    </cfRule>
  </conditionalFormatting>
  <conditionalFormatting sqref="G127 G130 G133 G136 G139">
    <cfRule type="expression" dxfId="52" priority="1">
      <formula>$D127="Oma yksikkö"</formula>
    </cfRule>
  </conditionalFormatting>
  <conditionalFormatting sqref="G269">
    <cfRule type="expression" dxfId="51" priority="19">
      <formula>(D269="t")</formula>
    </cfRule>
  </conditionalFormatting>
  <conditionalFormatting sqref="G274">
    <cfRule type="expression" dxfId="50" priority="17">
      <formula>(D274="t")</formula>
    </cfRule>
  </conditionalFormatting>
  <conditionalFormatting sqref="G279">
    <cfRule type="expression" dxfId="49" priority="16">
      <formula>(D279="t")</formula>
    </cfRule>
  </conditionalFormatting>
  <conditionalFormatting sqref="G284">
    <cfRule type="expression" dxfId="48" priority="15">
      <formula>(D284="t")</formula>
    </cfRule>
  </conditionalFormatting>
  <conditionalFormatting sqref="G289">
    <cfRule type="expression" dxfId="47" priority="18">
      <formula>(D289="t")</formula>
    </cfRule>
  </conditionalFormatting>
  <pageMargins left="0.70866141732283472" right="0.70866141732283472" top="0.74803149606299213" bottom="0.74803149606299213" header="0.31496062992125984" footer="0.31496062992125984"/>
  <pageSetup paperSize="9" scale="75" orientation="landscape" verticalDpi="0" r:id="rId1"/>
  <headerFooter>
    <oddHeader>&amp;L&amp;"-,Lihavoitu"&amp;12PIIP-laskentatyökalu&amp;RHuokosilmakäsittely
Sivu &amp;P/&amp;N</oddHeader>
    <oddFooter>&amp;L&amp;G&amp;R&amp;G</oddFooter>
  </headerFooter>
  <ignoredErrors>
    <ignoredError sqref="K306 R306 K309 R309 K312 R312 K315 R315" formula="1"/>
  </ignoredErrors>
  <legacy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37" id="{BCC76A45-B061-4D71-9DE5-6D3D511E54F5}">
            <xm:f>$C$48=Pudotusvalikot!$D$68</xm:f>
            <x14:dxf>
              <fill>
                <patternFill>
                  <bgColor theme="2" tint="0.59996337778862885"/>
                </patternFill>
              </fill>
            </x14:dxf>
          </x14:cfRule>
          <xm:sqref>L40:L41 L44:L45 L48:L49</xm:sqref>
        </x14:conditionalFormatting>
        <x14:conditionalFormatting xmlns:xm="http://schemas.microsoft.com/office/excel/2006/main">
          <x14:cfRule type="expression" priority="31" id="{19691A71-52D2-4FEA-8258-55AF66EE9D72}">
            <xm:f>#REF!=Pudotusvalikot!$D$68</xm:f>
            <x14:dxf>
              <fill>
                <patternFill>
                  <bgColor theme="2" tint="0.59996337778862885"/>
                </patternFill>
              </fill>
            </x14:dxf>
          </x14:cfRule>
          <xm:sqref>L191:L192 L258 L262</xm:sqref>
        </x14:conditionalFormatting>
        <x14:conditionalFormatting xmlns:xm="http://schemas.microsoft.com/office/excel/2006/main">
          <x14:cfRule type="expression" priority="30" id="{E05A770B-1A18-4571-BFB0-64BAE1C3AE3C}">
            <xm:f>#REF!=Pudotusvalikot!$D$68</xm:f>
            <x14:dxf>
              <fill>
                <patternFill>
                  <bgColor theme="2" tint="0.59996337778862885"/>
                </patternFill>
              </fill>
            </x14:dxf>
          </x14:cfRule>
          <xm:sqref>L199</xm:sqref>
        </x14:conditionalFormatting>
        <x14:conditionalFormatting xmlns:xm="http://schemas.microsoft.com/office/excel/2006/main">
          <x14:cfRule type="expression" priority="28" id="{221085DC-BB4C-45ED-B82A-1244C491211F}">
            <xm:f>#REF!=Pudotusvalikot!$D$68</xm:f>
            <x14:dxf>
              <fill>
                <patternFill>
                  <bgColor theme="2" tint="0.59996337778862885"/>
                </patternFill>
              </fill>
            </x14:dxf>
          </x14:cfRule>
          <xm:sqref>L207:L208</xm:sqref>
        </x14:conditionalFormatting>
        <x14:conditionalFormatting xmlns:xm="http://schemas.microsoft.com/office/excel/2006/main">
          <x14:cfRule type="expression" priority="29" id="{4C7400CC-0CF5-4300-97AF-AB81AB299736}">
            <xm:f>#REF!=Pudotusvalikot!$D$68</xm:f>
            <x14:dxf>
              <fill>
                <patternFill>
                  <bgColor theme="2" tint="0.59996337778862885"/>
                </patternFill>
              </fill>
            </x14:dxf>
          </x14:cfRule>
          <xm:sqref>L213</xm:sqref>
        </x14:conditionalFormatting>
        <x14:conditionalFormatting xmlns:xm="http://schemas.microsoft.com/office/excel/2006/main">
          <x14:cfRule type="expression" priority="25" id="{91D7F3A4-E02D-4B01-9D3C-76DF73BB930F}">
            <xm:f>#REF!=Pudotusvalikot!$D$68</xm:f>
            <x14:dxf>
              <fill>
                <patternFill>
                  <bgColor theme="2" tint="0.59996337778862885"/>
                </patternFill>
              </fill>
            </x14:dxf>
          </x14:cfRule>
          <xm:sqref>L219:L220</xm:sqref>
        </x14:conditionalFormatting>
        <x14:conditionalFormatting xmlns:xm="http://schemas.microsoft.com/office/excel/2006/main">
          <x14:cfRule type="expression" priority="23" id="{940C1FC4-1430-4135-85A8-54C6B2973B30}">
            <xm:f>#REF!=Pudotusvalikot!$D$68</xm:f>
            <x14:dxf>
              <fill>
                <patternFill>
                  <bgColor theme="2" tint="0.59996337778862885"/>
                </patternFill>
              </fill>
            </x14:dxf>
          </x14:cfRule>
          <xm:sqref>L231:L232</xm:sqref>
        </x14:conditionalFormatting>
        <x14:conditionalFormatting xmlns:xm="http://schemas.microsoft.com/office/excel/2006/main">
          <x14:cfRule type="expression" priority="24" id="{6102DA10-2D2E-458A-A0BB-4AB7BEC1CB34}">
            <xm:f>#REF!=Pudotusvalikot!$D$68</xm:f>
            <x14:dxf>
              <fill>
                <patternFill>
                  <bgColor theme="2" tint="0.59996337778862885"/>
                </patternFill>
              </fill>
            </x14:dxf>
          </x14:cfRule>
          <xm:sqref>L237</xm:sqref>
        </x14:conditionalFormatting>
        <x14:conditionalFormatting xmlns:xm="http://schemas.microsoft.com/office/excel/2006/main">
          <x14:cfRule type="expression" priority="5" id="{165A3627-351E-4865-855E-3E932F60940C}">
            <xm:f>$C$47=Pudotusvalikot!$D$68</xm:f>
            <x14:dxf>
              <fill>
                <patternFill>
                  <bgColor theme="2" tint="0.59996337778862885"/>
                </patternFill>
              </fill>
            </x14:dxf>
          </x14:cfRule>
          <xm:sqref>L238</xm:sqref>
        </x14:conditionalFormatting>
        <x14:conditionalFormatting xmlns:xm="http://schemas.microsoft.com/office/excel/2006/main">
          <x14:cfRule type="expression" priority="3" id="{1BD8D2A6-A809-4E39-97CE-A5255AE0CA15}">
            <xm:f>$C$56=Pudotusvalikot!$D$68</xm:f>
            <x14:dxf>
              <fill>
                <patternFill>
                  <bgColor theme="2" tint="0.59996337778862885"/>
                </patternFill>
              </fill>
            </x14:dxf>
          </x14:cfRule>
          <xm:sqref>L241 L323:L324 L333</xm:sqref>
        </x14:conditionalFormatting>
        <x14:conditionalFormatting xmlns:xm="http://schemas.microsoft.com/office/excel/2006/main">
          <x14:cfRule type="expression" priority="4" id="{063E3504-6D86-4C1D-97E2-1D25E9D4A1BF}">
            <xm:f>$C$56=Pudotusvalikot!$D$68</xm:f>
            <x14:dxf>
              <fill>
                <patternFill>
                  <bgColor theme="2" tint="0.59996337778862885"/>
                </patternFill>
              </fill>
            </x14:dxf>
          </x14:cfRule>
          <xm:sqref>L243</xm:sqref>
        </x14:conditionalFormatting>
        <x14:conditionalFormatting xmlns:xm="http://schemas.microsoft.com/office/excel/2006/main">
          <x14:cfRule type="expression" priority="14" id="{2453AE40-652C-4B78-858E-1F29E70A151F}">
            <xm:f>$C$56=Pudotusvalikot!$D$68</xm:f>
            <x14:dxf>
              <fill>
                <patternFill>
                  <bgColor theme="2" tint="0.59996337778862885"/>
                </patternFill>
              </fill>
            </x14:dxf>
          </x14:cfRule>
          <xm:sqref>L245</xm:sqref>
        </x14:conditionalFormatting>
        <x14:conditionalFormatting xmlns:xm="http://schemas.microsoft.com/office/excel/2006/main">
          <x14:cfRule type="expression" priority="21" id="{71A97CD1-E5F9-4340-9DB9-832EA8D16B71}">
            <xm:f>$C$48=Pudotusvalikot!$D$68</xm:f>
            <x14:dxf>
              <fill>
                <patternFill>
                  <bgColor theme="2" tint="0.59996337778862885"/>
                </patternFill>
              </fill>
            </x14:dxf>
          </x14:cfRule>
          <xm:sqref>L246</xm:sqref>
        </x14:conditionalFormatting>
        <x14:conditionalFormatting xmlns:xm="http://schemas.microsoft.com/office/excel/2006/main">
          <x14:cfRule type="expression" priority="20" id="{785DAB83-D83B-42FA-BF20-D5432B992003}">
            <xm:f>#REF!=Pudotusvalikot!$D$68</xm:f>
            <x14:dxf>
              <fill>
                <patternFill>
                  <bgColor theme="2" tint="0.59996337778862885"/>
                </patternFill>
              </fill>
            </x14:dxf>
          </x14:cfRule>
          <xm:sqref>L254</xm:sqref>
        </x14:conditionalFormatting>
        <x14:conditionalFormatting xmlns:xm="http://schemas.microsoft.com/office/excel/2006/main">
          <x14:cfRule type="expression" priority="13" id="{4AA4A68C-6112-4DC8-B098-9946F7A1BB95}">
            <xm:f>$C$56=Pudotusvalikot!$D$68</xm:f>
            <x14:dxf>
              <fill>
                <patternFill>
                  <bgColor theme="2" tint="0.59996337778862885"/>
                </patternFill>
              </fill>
            </x14:dxf>
          </x14:cfRule>
          <xm:sqref>L300</xm:sqref>
        </x14:conditionalFormatting>
        <x14:conditionalFormatting xmlns:xm="http://schemas.microsoft.com/office/excel/2006/main">
          <x14:cfRule type="expression" priority="7" id="{40D36377-0257-495D-88FC-ED8FC5DFE1EB}">
            <xm:f>$C$56=Pudotusvalikot!$D$68</xm:f>
            <x14:dxf>
              <fill>
                <patternFill>
                  <bgColor theme="2" tint="0.59996337778862885"/>
                </patternFill>
              </fill>
            </x14:dxf>
          </x14:cfRule>
          <xm:sqref>L303:L317</xm:sqref>
        </x14:conditionalFormatting>
        <x14:conditionalFormatting xmlns:xm="http://schemas.microsoft.com/office/excel/2006/main">
          <x14:cfRule type="expression" priority="12" id="{C05DA8ED-1348-45E4-8FCF-F089796EAE83}">
            <xm:f>$C$56=Pudotusvalikot!$D$68</xm:f>
            <x14:dxf>
              <fill>
                <patternFill>
                  <bgColor theme="2" tint="0.59996337778862885"/>
                </patternFill>
              </fill>
            </x14:dxf>
          </x14:cfRule>
          <xm:sqref>L321</xm:sqref>
        </x14:conditionalFormatting>
        <x14:conditionalFormatting xmlns:xm="http://schemas.microsoft.com/office/excel/2006/main">
          <x14:cfRule type="expression" priority="6" id="{C3E0D1C2-C2A9-4FA3-9249-F5B04DFD89B5}">
            <xm:f>$C$56=Pudotusvalikot!$D$68</xm:f>
            <x14:dxf>
              <fill>
                <patternFill>
                  <bgColor theme="2" tint="0.59996337778862885"/>
                </patternFill>
              </fill>
            </x14:dxf>
          </x14:cfRule>
          <xm:sqref>L331</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xr:uid="{60FFCF56-5042-4152-A3F6-42DFEF3F5B91}">
          <x14:formula1>
            <xm:f>Pudotusvalikot!$N$3:$N$7</xm:f>
          </x14:formula1>
          <xm:sqref>C151:C153 C159:C161 C175:C177 C167:C169 C183:C185</xm:sqref>
        </x14:dataValidation>
        <x14:dataValidation type="list" allowBlank="1" showInputMessage="1" showErrorMessage="1" xr:uid="{0856CAE8-72C5-42A1-A55D-7920720A28BC}">
          <x14:formula1>
            <xm:f>Pudotusvalikot!$D$67:$D$106</xm:f>
          </x14:formula1>
          <xm:sqref>C40 C48 C44</xm:sqref>
        </x14:dataValidation>
        <x14:dataValidation type="list" allowBlank="1" showInputMessage="1" showErrorMessage="1" xr:uid="{6DFB5FEE-A112-4093-9B0E-215F2181AF3A}">
          <x14:formula1>
            <xm:f>Pudotusvalikot!$D$67:$D$92</xm:f>
          </x14:formula1>
          <xm:sqref>C258 C262 C254</xm:sqref>
        </x14:dataValidation>
        <x14:dataValidation type="list" errorStyle="warning" allowBlank="1" showInputMessage="1" showErrorMessage="1" xr:uid="{74545736-D402-468B-A1E3-6AE4B8804BA7}">
          <x14:formula1>
            <xm:f>Pudotusvalikot!$B$3:$B$5</xm:f>
          </x14:formula1>
          <xm:sqref>C121 C26 C81 C293:C295</xm:sqref>
        </x14:dataValidation>
        <x14:dataValidation type="list" allowBlank="1" showInputMessage="1" showErrorMessage="1" xr:uid="{B9B47348-1C1E-448A-B21A-0BC5976E45FD}">
          <x14:formula1>
            <xm:f>Pudotusvalikot!$D$14:$D$65</xm:f>
          </x14:formula1>
          <xm:sqref>C157 C270 C275 C280 C285 C290 C11 C21 C16 C181 C149 C102 C107 C112 C97 C62 C117 C67 C72 C77 C57 C173 C165</xm:sqref>
        </x14:dataValidation>
        <x14:dataValidation type="list" allowBlank="1" showInputMessage="1" showErrorMessage="1" xr:uid="{05354DB8-2504-42C9-A904-F19DD17292FE}">
          <x14:formula1>
            <xm:f>Pudotusvalikot!$T$3:$T$7</xm:f>
          </x14:formula1>
          <xm:sqref>D209 D193 D221 D233</xm:sqref>
        </x14:dataValidation>
        <x14:dataValidation type="list" allowBlank="1" showInputMessage="1" showErrorMessage="1" xr:uid="{D5CCB4A7-0C13-4812-8FAC-9C463439E7DF}">
          <x14:formula1>
            <xm:f>Pudotusvalikot!$L$14:$L$29</xm:f>
          </x14:formula1>
          <xm:sqref>C138:D138 C135:D135 C132:D132 C129:D129</xm:sqref>
        </x14:dataValidation>
        <x14:dataValidation type="list" allowBlank="1" showInputMessage="1" showErrorMessage="1" xr:uid="{97429066-E787-4C87-BC41-D0A5FCC9144D}">
          <x14:formula1>
            <xm:f>Pudotusvalikot!$F$3:$F$7</xm:f>
          </x14:formula1>
          <xm:sqref>D61 D71 D76 D284 D274 D289 D66 D56 D85:D89 F91 D91 D279 D269</xm:sqref>
        </x14:dataValidation>
        <x14:dataValidation type="list" allowBlank="1" showInputMessage="1" showErrorMessage="1" xr:uid="{67528DD4-206B-4EEB-8649-892650DD6098}">
          <x14:formula1>
            <xm:f>Pudotusvalikot!$V$3:$V$9</xm:f>
          </x14:formula1>
          <xm:sqref>C12 C17 C22 C31 C33 C35 C41 C45 C49 C58 C63 C68 C73 C78 C98 C103 C108 C113 C118 C150 C158 C166 C174 C182 C255 C259 C263 C271 C276 C281 C286 C291 C322 C301</xm:sqref>
        </x14:dataValidation>
        <x14:dataValidation type="list" allowBlank="1" showInputMessage="1" showErrorMessage="1" xr:uid="{34DA5EA3-A6CF-4CDE-A701-3CE9B4735AE7}">
          <x14:formula1>
            <xm:f>Pudotusvalikot!$X$3:$X$7</xm:f>
          </x14:formula1>
          <xm:sqref>D195 D223</xm:sqref>
        </x14:dataValidation>
        <x14:dataValidation type="list" allowBlank="1" showInputMessage="1" showErrorMessage="1" xr:uid="{70417EF4-605C-4C64-98F3-D24547763233}">
          <x14:formula1>
            <xm:f>Pudotusvalikot!$Z$3:$Z$7</xm:f>
          </x14:formula1>
          <xm:sqref>C231:D231 C207:D207 C219:D219</xm:sqref>
        </x14:dataValidation>
        <x14:dataValidation type="list" allowBlank="1" showInputMessage="1" showErrorMessage="1" xr:uid="{0F713340-E6A2-4BB8-BBDD-43F5A0B8A7E3}">
          <x14:formula1>
            <xm:f>Pudotusvalikot!$J$3:$J$11</xm:f>
          </x14:formula1>
          <xm:sqref>C333 C245</xm:sqref>
        </x14:dataValidation>
        <x14:dataValidation type="list" allowBlank="1" showInputMessage="1" showErrorMessage="1" xr:uid="{622D9258-091C-4718-8F3A-B0F90FD2B932}">
          <x14:formula1>
            <xm:f>Pudotusvalikot!$L$14:$L$33</xm:f>
          </x14:formula1>
          <xm:sqref>C126:D126</xm:sqref>
        </x14:dataValidation>
        <x14:dataValidation type="list" allowBlank="1" showInputMessage="1" showErrorMessage="1" xr:uid="{B6683392-6C5D-4199-89C4-5D2A7FE49067}">
          <x14:formula1>
            <xm:f>Pudotusvalikot!$R$3:$R$11</xm:f>
          </x14:formula1>
          <xm:sqref>C191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C51C0-EB9D-4079-B4CA-F33B7BA0C5BC}">
  <sheetPr codeName="Sheet8">
    <tabColor theme="5" tint="0.79998168889431442"/>
  </sheetPr>
  <dimension ref="B1:BG455"/>
  <sheetViews>
    <sheetView zoomScale="85" zoomScaleNormal="85" workbookViewId="0">
      <pane xSplit="1" ySplit="5" topLeftCell="B6" activePane="bottomRight" state="frozen"/>
      <selection pane="topRight" activeCell="B1" sqref="B1"/>
      <selection pane="bottomLeft" activeCell="A6" sqref="A6"/>
      <selection pane="bottomRight" activeCell="C4" sqref="C4"/>
    </sheetView>
  </sheetViews>
  <sheetFormatPr defaultColWidth="9" defaultRowHeight="13.9" customHeight="1" x14ac:dyDescent="0.2"/>
  <cols>
    <col min="1" max="1" width="2.75" style="5" customWidth="1"/>
    <col min="2" max="2" width="80.75" style="5" customWidth="1"/>
    <col min="3" max="3" width="20.75" style="12" customWidth="1"/>
    <col min="4" max="4" width="12.75" style="84" bestFit="1" customWidth="1"/>
    <col min="5" max="5" width="2.25" style="5" customWidth="1"/>
    <col min="6" max="6" width="3.75" style="5" customWidth="1"/>
    <col min="7" max="7" width="20.75" style="5" customWidth="1"/>
    <col min="8" max="8" width="9.625" style="84" customWidth="1"/>
    <col min="9" max="9" width="11" style="5" customWidth="1"/>
    <col min="10" max="10" width="60.75" style="14" customWidth="1"/>
    <col min="11" max="12" width="15.75" style="12" customWidth="1"/>
    <col min="13" max="13" width="11.5" style="12" bestFit="1" customWidth="1"/>
    <col min="14" max="14" width="2.625" style="12" customWidth="1"/>
    <col min="15" max="15" width="80.625" style="12" customWidth="1"/>
    <col min="16" max="16" width="2.75" style="5" customWidth="1"/>
    <col min="17" max="17" width="2.75" style="138" customWidth="1"/>
    <col min="18" max="18" width="15.75" style="139" customWidth="1"/>
    <col min="19" max="19" width="15.75" style="140" customWidth="1"/>
    <col min="20" max="20" width="26.875" style="22" bestFit="1" customWidth="1"/>
    <col min="21" max="22" width="25.75" style="21" customWidth="1"/>
    <col min="23" max="23" width="29.625" style="21" customWidth="1"/>
    <col min="24" max="37" width="25.75" style="21" customWidth="1"/>
    <col min="38" max="39" width="15.75" style="21" customWidth="1"/>
    <col min="40" max="41" width="9" style="21"/>
    <col min="42" max="59" width="9" style="22"/>
    <col min="60" max="16384" width="9" style="5"/>
  </cols>
  <sheetData>
    <row r="1" spans="2:59" s="30" customFormat="1" ht="15" x14ac:dyDescent="0.2">
      <c r="C1" s="33"/>
      <c r="D1" s="81"/>
      <c r="H1" s="81"/>
      <c r="J1" s="32"/>
      <c r="K1" s="33"/>
      <c r="L1" s="33"/>
      <c r="M1" s="33"/>
      <c r="N1" s="33"/>
      <c r="O1" s="33"/>
      <c r="Q1" s="129"/>
      <c r="R1" s="94"/>
      <c r="S1" s="104"/>
      <c r="T1" s="36"/>
      <c r="U1" s="35"/>
      <c r="V1" s="35"/>
      <c r="W1" s="35"/>
      <c r="X1" s="35"/>
      <c r="Y1" s="35"/>
      <c r="Z1" s="35"/>
      <c r="AA1" s="35"/>
      <c r="AB1" s="35"/>
      <c r="AC1" s="35"/>
      <c r="AD1" s="35"/>
      <c r="AE1" s="35"/>
      <c r="AF1" s="35"/>
      <c r="AG1" s="35"/>
      <c r="AH1" s="35"/>
      <c r="AI1" s="35"/>
      <c r="AJ1" s="35"/>
      <c r="AK1" s="35"/>
      <c r="AL1" s="35"/>
      <c r="AM1" s="35"/>
      <c r="AN1" s="35"/>
      <c r="AO1" s="35"/>
      <c r="AP1" s="36"/>
      <c r="AQ1" s="36"/>
      <c r="AR1" s="36"/>
      <c r="AS1" s="36"/>
      <c r="AT1" s="36"/>
      <c r="AU1" s="36"/>
      <c r="AV1" s="36"/>
      <c r="AW1" s="36"/>
      <c r="AX1" s="36"/>
      <c r="AY1" s="36"/>
      <c r="AZ1" s="36"/>
      <c r="BA1" s="36"/>
      <c r="BB1" s="36"/>
      <c r="BC1" s="36"/>
      <c r="BD1" s="36"/>
      <c r="BE1" s="36"/>
      <c r="BF1" s="36"/>
      <c r="BG1" s="36"/>
    </row>
    <row r="2" spans="2:59" s="24" customFormat="1" ht="30" x14ac:dyDescent="0.2">
      <c r="B2" s="7" t="s">
        <v>58</v>
      </c>
      <c r="C2" s="364"/>
      <c r="D2" s="365"/>
      <c r="E2" s="366"/>
      <c r="F2" s="367" t="s">
        <v>583</v>
      </c>
      <c r="G2" s="368" t="str">
        <f>IF(ISNUMBER(C4),U446,"")</f>
        <v/>
      </c>
      <c r="H2" s="369" t="s">
        <v>160</v>
      </c>
      <c r="J2" s="25"/>
      <c r="K2" s="26"/>
      <c r="L2" s="26"/>
      <c r="M2" s="26"/>
      <c r="N2" s="26"/>
      <c r="O2" s="26"/>
      <c r="Q2" s="135"/>
      <c r="R2" s="136"/>
      <c r="S2" s="137"/>
      <c r="T2" s="29"/>
      <c r="U2" s="28"/>
      <c r="V2" s="28"/>
      <c r="W2" s="28"/>
      <c r="X2" s="28"/>
      <c r="Y2" s="28"/>
      <c r="Z2" s="28"/>
      <c r="AA2" s="28"/>
      <c r="AB2" s="28"/>
      <c r="AC2" s="28"/>
      <c r="AD2" s="28"/>
      <c r="AE2" s="28"/>
      <c r="AF2" s="28"/>
      <c r="AG2" s="28"/>
      <c r="AH2" s="28"/>
      <c r="AI2" s="28"/>
      <c r="AJ2" s="28"/>
      <c r="AK2" s="28"/>
      <c r="AL2" s="28"/>
      <c r="AM2" s="28"/>
      <c r="AN2" s="28"/>
      <c r="AO2" s="28"/>
      <c r="AP2" s="29"/>
      <c r="AQ2" s="29"/>
      <c r="AR2" s="29"/>
      <c r="AS2" s="29"/>
      <c r="AT2" s="29"/>
      <c r="AU2" s="29"/>
      <c r="AV2" s="29"/>
      <c r="AW2" s="29"/>
      <c r="AX2" s="29"/>
      <c r="AY2" s="29"/>
      <c r="AZ2" s="29"/>
      <c r="BA2" s="29"/>
      <c r="BB2" s="29"/>
      <c r="BC2" s="29"/>
      <c r="BD2" s="29"/>
      <c r="BE2" s="29"/>
      <c r="BF2" s="29"/>
      <c r="BG2" s="29"/>
    </row>
    <row r="3" spans="2:59" s="30" customFormat="1" ht="15" x14ac:dyDescent="0.2">
      <c r="C3" s="33"/>
      <c r="D3" s="81"/>
      <c r="H3" s="81"/>
      <c r="J3" s="32"/>
      <c r="K3" s="33"/>
      <c r="L3" s="33"/>
      <c r="M3" s="33"/>
      <c r="N3" s="33"/>
      <c r="O3" s="33"/>
      <c r="Q3" s="129"/>
      <c r="R3" s="94"/>
      <c r="S3" s="104"/>
      <c r="T3" s="36"/>
      <c r="U3" s="35"/>
      <c r="V3" s="35"/>
      <c r="W3" s="35"/>
      <c r="X3" s="35"/>
      <c r="Y3" s="35"/>
      <c r="Z3" s="35"/>
      <c r="AA3" s="35"/>
      <c r="AB3" s="35"/>
      <c r="AC3" s="35"/>
      <c r="AD3" s="35"/>
      <c r="AE3" s="35"/>
      <c r="AF3" s="35"/>
      <c r="AG3" s="35"/>
      <c r="AH3" s="35"/>
      <c r="AI3" s="35"/>
      <c r="AJ3" s="35"/>
      <c r="AK3" s="35"/>
      <c r="AL3" s="35"/>
      <c r="AM3" s="35"/>
      <c r="AN3" s="35"/>
      <c r="AO3" s="35"/>
      <c r="AP3" s="36"/>
      <c r="AQ3" s="36"/>
      <c r="AR3" s="36"/>
      <c r="AS3" s="36"/>
      <c r="AT3" s="36"/>
      <c r="AU3" s="36"/>
      <c r="AV3" s="36"/>
      <c r="AW3" s="36"/>
      <c r="AX3" s="36"/>
      <c r="AY3" s="36"/>
      <c r="AZ3" s="36"/>
      <c r="BA3" s="36"/>
      <c r="BB3" s="36"/>
      <c r="BC3" s="36"/>
      <c r="BD3" s="36"/>
      <c r="BE3" s="36"/>
      <c r="BF3" s="36"/>
      <c r="BG3" s="36"/>
    </row>
    <row r="4" spans="2:59" s="30" customFormat="1" ht="24.95" customHeight="1" x14ac:dyDescent="0.2">
      <c r="B4" s="79" t="s">
        <v>678</v>
      </c>
      <c r="C4" s="150"/>
      <c r="D4" s="81" t="str">
        <f>IF(ISBLANK(C4),"%","")</f>
        <v>%</v>
      </c>
      <c r="G4" s="171" t="str">
        <f>IF(ISNUMBER(C4),C4*'Kohdetiedot ja yhteenveto'!D12,"")</f>
        <v/>
      </c>
      <c r="H4" s="81" t="s">
        <v>163</v>
      </c>
      <c r="J4" s="32"/>
      <c r="K4" s="33"/>
      <c r="L4" s="33"/>
      <c r="M4" s="33"/>
      <c r="N4" s="33"/>
      <c r="O4" s="33"/>
      <c r="Q4" s="129"/>
      <c r="R4" s="94"/>
      <c r="S4" s="104"/>
      <c r="T4" s="36"/>
      <c r="U4" s="35"/>
      <c r="V4" s="35"/>
      <c r="W4" s="35"/>
      <c r="X4" s="35"/>
      <c r="Y4" s="35"/>
      <c r="Z4" s="35"/>
      <c r="AA4" s="35"/>
      <c r="AB4" s="35"/>
      <c r="AC4" s="35"/>
      <c r="AD4" s="35"/>
      <c r="AE4" s="35"/>
      <c r="AF4" s="35"/>
      <c r="AG4" s="35"/>
      <c r="AH4" s="35"/>
      <c r="AI4" s="35"/>
      <c r="AJ4" s="35"/>
      <c r="AK4" s="35"/>
      <c r="AL4" s="35"/>
      <c r="AM4" s="35"/>
      <c r="AN4" s="35"/>
      <c r="AO4" s="35"/>
      <c r="AP4" s="36"/>
      <c r="AQ4" s="36"/>
      <c r="AR4" s="36"/>
      <c r="AS4" s="36"/>
      <c r="AT4" s="36"/>
      <c r="AU4" s="36"/>
      <c r="AV4" s="36"/>
      <c r="AW4" s="36"/>
      <c r="AX4" s="36"/>
      <c r="AY4" s="36"/>
      <c r="AZ4" s="36"/>
      <c r="BA4" s="36"/>
      <c r="BB4" s="36"/>
      <c r="BC4" s="36"/>
      <c r="BD4" s="36"/>
      <c r="BE4" s="36"/>
      <c r="BF4" s="36"/>
      <c r="BG4" s="36"/>
    </row>
    <row r="5" spans="2:59" s="30" customFormat="1" ht="15" x14ac:dyDescent="0.2">
      <c r="C5" s="33"/>
      <c r="D5" s="81"/>
      <c r="H5" s="81"/>
      <c r="J5" s="32"/>
      <c r="K5" s="33"/>
      <c r="L5" s="33"/>
      <c r="M5" s="33"/>
      <c r="N5" s="33"/>
      <c r="O5" s="33"/>
      <c r="Q5" s="129"/>
      <c r="R5" s="94"/>
      <c r="S5" s="104"/>
      <c r="T5" s="36"/>
      <c r="U5" s="35"/>
      <c r="V5" s="35"/>
      <c r="W5" s="35"/>
      <c r="X5" s="35"/>
      <c r="Y5" s="35"/>
      <c r="Z5" s="35"/>
      <c r="AA5" s="35"/>
      <c r="AB5" s="35"/>
      <c r="AC5" s="35"/>
      <c r="AD5" s="35"/>
      <c r="AE5" s="35"/>
      <c r="AF5" s="35"/>
      <c r="AG5" s="35"/>
      <c r="AH5" s="35"/>
      <c r="AI5" s="35"/>
      <c r="AJ5" s="35"/>
      <c r="AK5" s="35"/>
      <c r="AL5" s="35"/>
      <c r="AM5" s="35"/>
      <c r="AN5" s="35"/>
      <c r="AO5" s="35"/>
      <c r="AP5" s="36"/>
      <c r="AQ5" s="36"/>
      <c r="AR5" s="36"/>
      <c r="AS5" s="36"/>
      <c r="AT5" s="36"/>
      <c r="AU5" s="36"/>
      <c r="AV5" s="36"/>
      <c r="AW5" s="36"/>
      <c r="AX5" s="36"/>
      <c r="AY5" s="36"/>
      <c r="AZ5" s="36"/>
      <c r="BA5" s="36"/>
      <c r="BB5" s="36"/>
      <c r="BC5" s="36"/>
      <c r="BD5" s="36"/>
      <c r="BE5" s="36"/>
      <c r="BF5" s="36"/>
      <c r="BG5" s="36"/>
    </row>
    <row r="6" spans="2:59" s="192" customFormat="1" ht="23.25" x14ac:dyDescent="0.2">
      <c r="B6" s="193" t="s">
        <v>556</v>
      </c>
      <c r="C6" s="194"/>
      <c r="D6" s="195"/>
      <c r="G6" s="194"/>
      <c r="H6" s="195"/>
      <c r="J6" s="196"/>
      <c r="P6" s="197"/>
      <c r="Q6" s="198"/>
      <c r="R6" s="199"/>
      <c r="S6" s="198"/>
      <c r="T6" s="200"/>
      <c r="U6" s="201"/>
      <c r="V6" s="201"/>
      <c r="W6" s="201"/>
      <c r="X6" s="201"/>
      <c r="Y6" s="201"/>
      <c r="Z6" s="201"/>
      <c r="AA6" s="201"/>
      <c r="AB6" s="201"/>
      <c r="AC6" s="201"/>
      <c r="AD6" s="201"/>
      <c r="AE6" s="201"/>
      <c r="AF6" s="201"/>
      <c r="AG6" s="201"/>
      <c r="AH6" s="201"/>
      <c r="AI6" s="201"/>
      <c r="AJ6" s="201"/>
      <c r="AK6" s="201"/>
      <c r="AL6" s="201"/>
      <c r="AM6" s="201"/>
      <c r="AN6" s="201"/>
      <c r="AO6" s="201"/>
      <c r="AP6" s="200"/>
      <c r="AQ6" s="200"/>
      <c r="AR6" s="200"/>
      <c r="AS6" s="200"/>
      <c r="AT6" s="200"/>
      <c r="AU6" s="200"/>
      <c r="AV6" s="200"/>
      <c r="AW6" s="200"/>
      <c r="AX6" s="200"/>
      <c r="AY6" s="200"/>
      <c r="AZ6" s="200"/>
      <c r="BA6" s="200"/>
      <c r="BB6" s="200"/>
      <c r="BC6" s="200"/>
      <c r="BD6" s="200"/>
      <c r="BE6" s="200"/>
      <c r="BF6" s="200"/>
      <c r="BG6" s="200"/>
    </row>
    <row r="7" spans="2:59" s="30" customFormat="1" ht="15" x14ac:dyDescent="0.2">
      <c r="C7" s="33"/>
      <c r="D7" s="81"/>
      <c r="H7" s="81"/>
      <c r="J7" s="32"/>
      <c r="K7" s="33"/>
      <c r="L7" s="33"/>
      <c r="M7" s="33"/>
      <c r="N7" s="33"/>
      <c r="O7" s="33"/>
      <c r="Q7" s="129"/>
      <c r="R7" s="94"/>
      <c r="S7" s="104"/>
      <c r="T7" s="36"/>
      <c r="U7" s="35"/>
      <c r="V7" s="35"/>
      <c r="W7" s="35"/>
      <c r="X7" s="35"/>
      <c r="Y7" s="35"/>
      <c r="Z7" s="35"/>
      <c r="AA7" s="35"/>
      <c r="AB7" s="35"/>
      <c r="AC7" s="35"/>
      <c r="AD7" s="35"/>
      <c r="AE7" s="35"/>
      <c r="AF7" s="35"/>
      <c r="AG7" s="35"/>
      <c r="AH7" s="35"/>
      <c r="AI7" s="35"/>
      <c r="AJ7" s="35"/>
      <c r="AK7" s="35"/>
      <c r="AL7" s="35"/>
      <c r="AM7" s="35"/>
      <c r="AN7" s="35"/>
      <c r="AO7" s="35"/>
      <c r="AP7" s="36"/>
      <c r="AQ7" s="36"/>
      <c r="AR7" s="36"/>
      <c r="AS7" s="36"/>
      <c r="AT7" s="36"/>
      <c r="AU7" s="36"/>
      <c r="AV7" s="36"/>
      <c r="AW7" s="36"/>
      <c r="AX7" s="36"/>
      <c r="AY7" s="36"/>
      <c r="AZ7" s="36"/>
      <c r="BA7" s="36"/>
      <c r="BB7" s="36"/>
      <c r="BC7" s="36"/>
      <c r="BD7" s="36"/>
      <c r="BE7" s="36"/>
      <c r="BF7" s="36"/>
      <c r="BG7" s="36"/>
    </row>
    <row r="8" spans="2:59" s="289" customFormat="1" ht="18" x14ac:dyDescent="0.2">
      <c r="B8" s="286" t="s">
        <v>437</v>
      </c>
      <c r="C8" s="287"/>
      <c r="D8" s="288"/>
      <c r="G8" s="287"/>
      <c r="H8" s="288"/>
      <c r="K8" s="287"/>
      <c r="L8" s="287"/>
      <c r="M8" s="288"/>
      <c r="N8" s="288"/>
      <c r="O8" s="291"/>
      <c r="P8" s="311"/>
      <c r="Q8" s="295"/>
      <c r="S8" s="294"/>
      <c r="T8" s="294"/>
      <c r="U8" s="294"/>
      <c r="V8" s="294"/>
      <c r="W8" s="294"/>
      <c r="X8" s="294"/>
      <c r="Y8" s="294"/>
      <c r="Z8" s="294"/>
      <c r="AA8" s="294"/>
      <c r="AB8" s="294"/>
      <c r="AC8" s="294"/>
      <c r="AD8" s="294"/>
      <c r="AE8" s="294"/>
      <c r="AF8" s="294"/>
      <c r="AG8" s="294"/>
      <c r="AH8" s="294"/>
      <c r="AI8" s="294"/>
      <c r="AJ8" s="294"/>
      <c r="AK8" s="294"/>
      <c r="AL8" s="294"/>
      <c r="AM8" s="294"/>
      <c r="AN8" s="295"/>
      <c r="AO8" s="295"/>
      <c r="AP8" s="295"/>
      <c r="AQ8" s="295"/>
      <c r="AR8" s="295"/>
      <c r="AS8" s="295"/>
      <c r="AT8" s="295"/>
      <c r="AU8" s="295"/>
      <c r="AV8" s="295"/>
      <c r="AW8" s="295"/>
      <c r="AX8" s="295"/>
      <c r="AY8" s="295"/>
      <c r="AZ8" s="295"/>
      <c r="BA8" s="295"/>
      <c r="BB8" s="295"/>
      <c r="BC8" s="295"/>
      <c r="BD8" s="295"/>
      <c r="BE8" s="295"/>
    </row>
    <row r="9" spans="2:59" s="30" customFormat="1" ht="15.75" x14ac:dyDescent="0.2">
      <c r="B9" s="8"/>
      <c r="C9" s="33"/>
      <c r="D9" s="81"/>
      <c r="G9" s="33"/>
      <c r="H9" s="81"/>
      <c r="K9" s="37"/>
      <c r="L9" s="37"/>
      <c r="M9" s="81"/>
      <c r="N9" s="81"/>
      <c r="O9" s="249" t="s">
        <v>584</v>
      </c>
      <c r="Q9" s="34"/>
      <c r="R9" s="35" t="s">
        <v>318</v>
      </c>
      <c r="S9" s="35"/>
      <c r="T9" s="35"/>
      <c r="U9" s="35"/>
      <c r="V9" s="35"/>
      <c r="W9" s="35"/>
      <c r="X9" s="35"/>
      <c r="Y9" s="35"/>
      <c r="Z9" s="35"/>
      <c r="AA9" s="35"/>
      <c r="AB9" s="35"/>
      <c r="AC9" s="35"/>
      <c r="AD9" s="35"/>
      <c r="AE9" s="35"/>
      <c r="AF9" s="35"/>
      <c r="AG9" s="35"/>
      <c r="AH9" s="35"/>
      <c r="AI9" s="35"/>
      <c r="AJ9" s="35"/>
      <c r="AK9" s="35"/>
      <c r="AL9" s="35"/>
      <c r="AM9" s="35"/>
      <c r="AN9" s="36"/>
      <c r="AO9" s="36"/>
      <c r="AP9" s="36"/>
      <c r="AQ9" s="36"/>
      <c r="AR9" s="36"/>
      <c r="AS9" s="36"/>
      <c r="AT9" s="36"/>
      <c r="AU9" s="36"/>
      <c r="AV9" s="36"/>
      <c r="AW9" s="36"/>
      <c r="AX9" s="36"/>
      <c r="AY9" s="36"/>
      <c r="AZ9" s="36"/>
      <c r="BA9" s="36"/>
      <c r="BB9" s="36"/>
      <c r="BC9" s="36"/>
      <c r="BD9" s="36"/>
      <c r="BE9" s="36"/>
    </row>
    <row r="10" spans="2:59" s="30" customFormat="1" ht="15" x14ac:dyDescent="0.2">
      <c r="B10" s="168" t="s">
        <v>392</v>
      </c>
      <c r="C10" s="33"/>
      <c r="D10" s="81"/>
      <c r="G10" s="33"/>
      <c r="H10" s="81"/>
      <c r="K10" s="37" t="s">
        <v>297</v>
      </c>
      <c r="L10" s="37" t="s">
        <v>185</v>
      </c>
      <c r="M10" s="81"/>
      <c r="N10" s="81"/>
      <c r="O10" s="250"/>
      <c r="Q10" s="34"/>
      <c r="R10" s="35" t="s">
        <v>160</v>
      </c>
      <c r="S10" s="35"/>
      <c r="T10" s="35" t="s">
        <v>400</v>
      </c>
      <c r="U10" s="35" t="s">
        <v>399</v>
      </c>
      <c r="V10" s="35" t="s">
        <v>397</v>
      </c>
      <c r="W10" s="35" t="s">
        <v>398</v>
      </c>
      <c r="X10" s="35" t="s">
        <v>401</v>
      </c>
      <c r="Y10" s="35" t="s">
        <v>403</v>
      </c>
      <c r="Z10" s="35" t="s">
        <v>402</v>
      </c>
      <c r="AA10" s="35" t="s">
        <v>186</v>
      </c>
      <c r="AB10" s="35" t="s">
        <v>345</v>
      </c>
      <c r="AC10" s="35" t="s">
        <v>404</v>
      </c>
      <c r="AD10" s="35" t="s">
        <v>346</v>
      </c>
      <c r="AE10" s="35" t="s">
        <v>405</v>
      </c>
      <c r="AF10" s="35" t="s">
        <v>406</v>
      </c>
      <c r="AG10" s="35" t="s">
        <v>578</v>
      </c>
      <c r="AH10" s="35" t="s">
        <v>190</v>
      </c>
      <c r="AI10" s="35" t="s">
        <v>249</v>
      </c>
      <c r="AJ10" s="35" t="s">
        <v>191</v>
      </c>
      <c r="AK10" s="104"/>
      <c r="AL10" s="35"/>
      <c r="AM10" s="35"/>
      <c r="AN10" s="36"/>
      <c r="AO10" s="36"/>
      <c r="AP10" s="36"/>
      <c r="AQ10" s="36"/>
      <c r="AR10" s="36"/>
      <c r="AS10" s="36"/>
      <c r="AT10" s="36"/>
      <c r="AU10" s="36"/>
      <c r="AV10" s="36"/>
      <c r="AW10" s="36"/>
      <c r="AX10" s="36"/>
      <c r="AY10" s="36"/>
      <c r="AZ10" s="36"/>
      <c r="BA10" s="36"/>
      <c r="BB10" s="36"/>
      <c r="BC10" s="36"/>
      <c r="BD10" s="36"/>
      <c r="BE10" s="36"/>
    </row>
    <row r="11" spans="2:59" s="30" customFormat="1" ht="30" x14ac:dyDescent="0.2">
      <c r="B11" s="166" t="s">
        <v>455</v>
      </c>
      <c r="C11" s="471" t="s">
        <v>298</v>
      </c>
      <c r="D11" s="472"/>
      <c r="E11" s="472"/>
      <c r="F11" s="472"/>
      <c r="G11" s="473"/>
      <c r="H11" s="165"/>
      <c r="J11" s="169" t="s">
        <v>395</v>
      </c>
      <c r="K11" s="92" t="str">
        <f>IFERROR(IF(ISNUMBER(L11),L11,(VLOOKUP(C11,Kalusto!$C$45:$L$84,5,FALSE)*(VLOOKUP(C12,Muut!$D$40:$E$43,2,FALSE)))),"--")</f>
        <v>--</v>
      </c>
      <c r="L11" s="39"/>
      <c r="M11" s="40" t="s">
        <v>184</v>
      </c>
      <c r="N11" s="40"/>
      <c r="O11" s="250"/>
      <c r="Q11" s="45"/>
      <c r="R11" s="48" t="str">
        <f>IF(AND(NOT(ISNUMBER(AB11)),NOT(ISNUMBER(AG11))),"",IF(ISNUMBER(AB11),AB11,0)+IF(ISNUMBER(AG11),AG11,0))</f>
        <v/>
      </c>
      <c r="S11" s="98" t="s">
        <v>438</v>
      </c>
      <c r="T11" s="46" t="str">
        <f>IFERROR(IF(ISNUMBER(L11),"Kohdetieto",VLOOKUP(C11,Kalusto!$C$45:$L$84,7,FALSE)),"--")</f>
        <v>--</v>
      </c>
      <c r="U11" s="46" t="str">
        <f>IFERROR(IF(ISNUMBER(L11),"Kohdetieto",VLOOKUP(C11,Kalusto!$C$45:$L$84,8,FALSE)),"--")</f>
        <v>--</v>
      </c>
      <c r="V11" s="47" t="str">
        <f>IFERROR(IF(ISNUMBER(L11),"Kohdetieto",VLOOKUP(C11,Kalusto!$C$45:$L$84,9,FALSE)),"--")</f>
        <v>--</v>
      </c>
      <c r="W11" s="47" t="str">
        <f>IFERROR(IF(ISNUMBER(L11),"Kohdetieto",VLOOKUP(C11,Kalusto!$C$45:$L$84,10,FALSE)),"--")</f>
        <v>--</v>
      </c>
      <c r="X11" s="48" t="str">
        <f>IF(ISBLANK(C13),"",C13)</f>
        <v/>
      </c>
      <c r="Y11" s="46" t="str">
        <f>IF(ISNUMBER(C14),C14,"")</f>
        <v/>
      </c>
      <c r="Z11" s="48" t="str">
        <f>IF(ISNUMBER(X11/(U11*V11)*Y11),X11/(U11*V11)*Y11,"")</f>
        <v/>
      </c>
      <c r="AA11" s="49" t="str">
        <f>IF(ISNUMBER(L11),L11,K11)</f>
        <v>--</v>
      </c>
      <c r="AB11" s="48" t="str">
        <f>IF(ISNUMBER(Y11*X11*K11),Y11*X11*K11,"")</f>
        <v/>
      </c>
      <c r="AC11" s="48" t="str">
        <f>IF(C$26="Kyllä",Y11,"")</f>
        <v/>
      </c>
      <c r="AD11" s="48" t="str">
        <f>IF(C$26="Kyllä",IF(ISNUMBER(X11/(U11*V11)),CEILING(X11/(U11*V11),1),""),"")</f>
        <v/>
      </c>
      <c r="AE11" s="48" t="str">
        <f>IF(ISNUMBER(AD11*AC11),AD11*AC11,"")</f>
        <v/>
      </c>
      <c r="AF11" s="49" t="str">
        <f>IF(ISNUMBER(L13),L13,K13)</f>
        <v>--</v>
      </c>
      <c r="AG11" s="48" t="str">
        <f>IF(ISNUMBER(AC11*AD11*K13),AC11*AD11*K13,"")</f>
        <v/>
      </c>
      <c r="AH11" s="46">
        <f>IF(T11="Jakelukuorma-auto",0,IF(T11="Maansiirtoauto",4,IF(T11="Puoliperävaunu",6,8)))</f>
        <v>8</v>
      </c>
      <c r="AI11" s="46">
        <f>IF(AND(T11="Jakelukuorma-auto",U11=6),0,IF(AND(T11="Jakelukuorma-auto",U11=15),2,0))</f>
        <v>0</v>
      </c>
      <c r="AJ11" s="46">
        <f>IF(W11="maantieajo",0,1)</f>
        <v>1</v>
      </c>
      <c r="AK11" s="104"/>
      <c r="AL11" s="35"/>
      <c r="AM11" s="35"/>
      <c r="AN11" s="36"/>
      <c r="AO11" s="36"/>
      <c r="AP11" s="36"/>
      <c r="AQ11" s="36"/>
      <c r="AR11" s="36"/>
      <c r="AS11" s="36"/>
      <c r="AT11" s="36"/>
      <c r="AU11" s="36"/>
      <c r="AV11" s="36"/>
      <c r="AW11" s="36"/>
      <c r="AX11" s="36"/>
      <c r="AY11" s="36"/>
      <c r="AZ11" s="36"/>
      <c r="BA11" s="36"/>
      <c r="BB11" s="36"/>
      <c r="BC11" s="36"/>
      <c r="BD11" s="36"/>
      <c r="BE11" s="36"/>
    </row>
    <row r="12" spans="2:59" s="30" customFormat="1" ht="15" x14ac:dyDescent="0.2">
      <c r="B12" s="182" t="s">
        <v>457</v>
      </c>
      <c r="C12" s="156" t="s">
        <v>309</v>
      </c>
      <c r="D12" s="33"/>
      <c r="E12" s="33"/>
      <c r="F12" s="33"/>
      <c r="G12" s="33"/>
      <c r="H12" s="57"/>
      <c r="J12" s="169"/>
      <c r="K12" s="169"/>
      <c r="L12" s="169"/>
      <c r="M12" s="40"/>
      <c r="N12" s="40"/>
      <c r="O12" s="250"/>
      <c r="Q12" s="45"/>
      <c r="R12" s="35"/>
      <c r="S12" s="35"/>
      <c r="T12" s="35"/>
      <c r="U12" s="35"/>
      <c r="V12" s="177"/>
      <c r="W12" s="177"/>
      <c r="X12" s="59"/>
      <c r="Y12" s="35"/>
      <c r="Z12" s="59"/>
      <c r="AA12" s="178"/>
      <c r="AB12" s="59"/>
      <c r="AC12" s="59"/>
      <c r="AD12" s="59"/>
      <c r="AE12" s="59"/>
      <c r="AF12" s="178"/>
      <c r="AG12" s="59"/>
      <c r="AH12" s="35"/>
      <c r="AI12" s="35"/>
      <c r="AJ12" s="35"/>
      <c r="AK12" s="104"/>
      <c r="AL12" s="35"/>
      <c r="AM12" s="35"/>
      <c r="AN12" s="36"/>
      <c r="AO12" s="36"/>
      <c r="AP12" s="36"/>
      <c r="AQ12" s="36"/>
      <c r="AR12" s="36"/>
      <c r="AS12" s="36"/>
      <c r="AT12" s="36"/>
      <c r="AU12" s="36"/>
      <c r="AV12" s="36"/>
      <c r="AW12" s="36"/>
      <c r="AX12" s="36"/>
      <c r="AY12" s="36"/>
      <c r="AZ12" s="36"/>
      <c r="BA12" s="36"/>
      <c r="BB12" s="36"/>
      <c r="BC12" s="36"/>
      <c r="BD12" s="36"/>
      <c r="BE12" s="36"/>
    </row>
    <row r="13" spans="2:59" s="30" customFormat="1" ht="15" x14ac:dyDescent="0.2">
      <c r="B13" s="44" t="s">
        <v>521</v>
      </c>
      <c r="C13" s="152"/>
      <c r="D13" s="81" t="s">
        <v>52</v>
      </c>
      <c r="G13" s="33"/>
      <c r="H13" s="81"/>
      <c r="J13" s="32" t="s">
        <v>396</v>
      </c>
      <c r="K13" s="92" t="str">
        <f>IFERROR(IF(ISNUMBER(L13),L13,IF($C$26="Ei","",(VLOOKUP(C11,Kalusto!$C$45:$V$84,19,FALSE)*(VLOOKUP(C12,Muut!$D$40:$E$43,2,FALSE))))),"--")</f>
        <v>--</v>
      </c>
      <c r="L13" s="39"/>
      <c r="M13" s="40" t="s">
        <v>188</v>
      </c>
      <c r="N13" s="40"/>
      <c r="O13" s="250"/>
      <c r="P13" s="33"/>
      <c r="Q13" s="50"/>
      <c r="R13" s="48" t="str">
        <f>IF(ISNUMBER(R11),R11,"")</f>
        <v/>
      </c>
      <c r="S13" s="98" t="s">
        <v>439</v>
      </c>
      <c r="T13" s="35"/>
      <c r="U13" s="35"/>
      <c r="V13" s="35"/>
      <c r="W13" s="35"/>
      <c r="X13" s="35"/>
      <c r="Y13" s="35"/>
      <c r="Z13" s="35"/>
      <c r="AA13" s="35"/>
      <c r="AB13" s="35"/>
      <c r="AC13" s="35"/>
      <c r="AD13" s="35"/>
      <c r="AE13" s="35"/>
      <c r="AF13" s="35"/>
      <c r="AG13" s="35"/>
      <c r="AH13" s="35"/>
      <c r="AI13" s="35"/>
      <c r="AJ13" s="35"/>
      <c r="AK13" s="104"/>
      <c r="AL13" s="35"/>
      <c r="AM13" s="35"/>
      <c r="AN13" s="36"/>
      <c r="AO13" s="36"/>
      <c r="AP13" s="36"/>
      <c r="AQ13" s="36"/>
      <c r="AR13" s="36"/>
      <c r="AS13" s="36"/>
      <c r="AT13" s="36"/>
      <c r="AU13" s="36"/>
      <c r="AV13" s="36"/>
      <c r="AW13" s="36"/>
      <c r="AX13" s="36"/>
      <c r="AY13" s="36"/>
      <c r="AZ13" s="36"/>
      <c r="BA13" s="36"/>
      <c r="BB13" s="36"/>
      <c r="BC13" s="36"/>
      <c r="BD13" s="36"/>
      <c r="BE13" s="36"/>
    </row>
    <row r="14" spans="2:59" s="30" customFormat="1" ht="15" x14ac:dyDescent="0.2">
      <c r="B14" s="44" t="s">
        <v>522</v>
      </c>
      <c r="C14" s="152"/>
      <c r="D14" s="81" t="s">
        <v>5</v>
      </c>
      <c r="G14" s="33"/>
      <c r="H14" s="81"/>
      <c r="I14" s="51"/>
      <c r="J14" s="51"/>
      <c r="K14" s="33"/>
      <c r="L14" s="33"/>
      <c r="M14" s="81"/>
      <c r="N14" s="81"/>
      <c r="O14" s="250"/>
      <c r="P14" s="51"/>
      <c r="Q14" s="50"/>
      <c r="R14" s="35" t="s">
        <v>318</v>
      </c>
      <c r="S14" s="36"/>
      <c r="T14" s="35"/>
      <c r="U14" s="35"/>
      <c r="V14" s="35"/>
      <c r="W14" s="35"/>
      <c r="X14" s="35"/>
      <c r="Y14" s="35"/>
      <c r="Z14" s="35"/>
      <c r="AA14" s="35"/>
      <c r="AB14" s="35"/>
      <c r="AC14" s="35"/>
      <c r="AD14" s="35"/>
      <c r="AE14" s="35"/>
      <c r="AF14" s="35"/>
      <c r="AG14" s="35"/>
      <c r="AH14" s="35"/>
      <c r="AI14" s="35"/>
      <c r="AJ14" s="35"/>
      <c r="AK14" s="104"/>
      <c r="AL14" s="35"/>
      <c r="AM14" s="35"/>
      <c r="AN14" s="36"/>
      <c r="AO14" s="36"/>
      <c r="AP14" s="36"/>
      <c r="AQ14" s="36"/>
      <c r="AR14" s="36"/>
      <c r="AS14" s="36"/>
      <c r="AT14" s="36"/>
      <c r="AU14" s="36"/>
      <c r="AV14" s="36"/>
      <c r="AW14" s="36"/>
      <c r="AX14" s="36"/>
      <c r="AY14" s="36"/>
      <c r="AZ14" s="36"/>
      <c r="BA14" s="36"/>
      <c r="BB14" s="36"/>
      <c r="BC14" s="36"/>
      <c r="BD14" s="36"/>
      <c r="BE14" s="36"/>
    </row>
    <row r="15" spans="2:59" s="30" customFormat="1" ht="15" x14ac:dyDescent="0.2">
      <c r="B15" s="168" t="s">
        <v>393</v>
      </c>
      <c r="C15" s="33"/>
      <c r="D15" s="81"/>
      <c r="G15" s="33"/>
      <c r="H15" s="81"/>
      <c r="J15" s="32"/>
      <c r="K15" s="37" t="s">
        <v>297</v>
      </c>
      <c r="L15" s="37" t="s">
        <v>185</v>
      </c>
      <c r="M15" s="81"/>
      <c r="N15" s="81"/>
      <c r="O15" s="250"/>
      <c r="P15" s="33"/>
      <c r="Q15" s="34"/>
      <c r="R15" s="35" t="s">
        <v>160</v>
      </c>
      <c r="S15" s="35"/>
      <c r="T15" s="35" t="s">
        <v>400</v>
      </c>
      <c r="U15" s="35" t="s">
        <v>399</v>
      </c>
      <c r="V15" s="35" t="s">
        <v>397</v>
      </c>
      <c r="W15" s="35" t="s">
        <v>398</v>
      </c>
      <c r="X15" s="35" t="s">
        <v>401</v>
      </c>
      <c r="Y15" s="35" t="s">
        <v>403</v>
      </c>
      <c r="Z15" s="35" t="s">
        <v>402</v>
      </c>
      <c r="AA15" s="35" t="s">
        <v>186</v>
      </c>
      <c r="AB15" s="35" t="s">
        <v>345</v>
      </c>
      <c r="AC15" s="35" t="s">
        <v>404</v>
      </c>
      <c r="AD15" s="35" t="s">
        <v>346</v>
      </c>
      <c r="AE15" s="35" t="s">
        <v>405</v>
      </c>
      <c r="AF15" s="35" t="s">
        <v>406</v>
      </c>
      <c r="AG15" s="35" t="s">
        <v>578</v>
      </c>
      <c r="AH15" s="35" t="s">
        <v>190</v>
      </c>
      <c r="AI15" s="35" t="s">
        <v>249</v>
      </c>
      <c r="AJ15" s="35" t="s">
        <v>191</v>
      </c>
      <c r="AK15" s="104"/>
      <c r="AL15" s="35"/>
      <c r="AM15" s="35"/>
      <c r="AN15" s="36"/>
      <c r="AO15" s="36"/>
      <c r="AP15" s="36"/>
      <c r="AQ15" s="36"/>
      <c r="AR15" s="36"/>
      <c r="AS15" s="36"/>
      <c r="AT15" s="36"/>
      <c r="AU15" s="36"/>
      <c r="AV15" s="36"/>
      <c r="AW15" s="36"/>
      <c r="AX15" s="36"/>
      <c r="AY15" s="36"/>
      <c r="AZ15" s="36"/>
      <c r="BA15" s="36"/>
      <c r="BB15" s="36"/>
      <c r="BC15" s="36"/>
      <c r="BD15" s="36"/>
      <c r="BE15" s="36"/>
    </row>
    <row r="16" spans="2:59" s="30" customFormat="1" ht="30" x14ac:dyDescent="0.2">
      <c r="B16" s="166" t="s">
        <v>455</v>
      </c>
      <c r="C16" s="471" t="s">
        <v>298</v>
      </c>
      <c r="D16" s="472"/>
      <c r="E16" s="472"/>
      <c r="F16" s="472"/>
      <c r="G16" s="473"/>
      <c r="H16" s="165"/>
      <c r="J16" s="169" t="s">
        <v>395</v>
      </c>
      <c r="K16" s="92" t="str">
        <f>IFERROR(IF(ISNUMBER(L16),L16,(VLOOKUP(C16,Kalusto!$C$45:$L$84,5,FALSE)*(VLOOKUP(C17,Muut!$D$40:$E$43,2,FALSE)))),"--")</f>
        <v>--</v>
      </c>
      <c r="L16" s="39"/>
      <c r="M16" s="40" t="s">
        <v>184</v>
      </c>
      <c r="N16" s="40"/>
      <c r="O16" s="250"/>
      <c r="Q16" s="45"/>
      <c r="R16" s="48" t="str">
        <f>IF(AND(NOT(ISNUMBER(AB16)),NOT(ISNUMBER(AG16))),"",IF(ISNUMBER(AB16),AB16,0)+IF(ISNUMBER(AG16),AG16,0))</f>
        <v/>
      </c>
      <c r="S16" s="98" t="s">
        <v>438</v>
      </c>
      <c r="T16" s="46" t="str">
        <f>IFERROR(IF(ISNUMBER(L16),"Kohdetieto",VLOOKUP(C16,Kalusto!$C$45:$L$84,7,FALSE)),"--")</f>
        <v>--</v>
      </c>
      <c r="U16" s="46" t="str">
        <f>IFERROR(IF(ISNUMBER(L16),"Kohdetieto",VLOOKUP(C16,Kalusto!$C$45:$L$84,8,FALSE)),"--")</f>
        <v>--</v>
      </c>
      <c r="V16" s="47" t="str">
        <f>IFERROR(IF(ISNUMBER(L16),"Kohdetieto",VLOOKUP(C16,Kalusto!$C$45:$L$84,9,FALSE)),"--")</f>
        <v>--</v>
      </c>
      <c r="W16" s="47" t="str">
        <f>IFERROR(IF(ISNUMBER(L16),"Kohdetieto",VLOOKUP(C16,Kalusto!$C$45:$L$84,10,FALSE)),"--")</f>
        <v>--</v>
      </c>
      <c r="X16" s="48" t="str">
        <f>IF(ISBLANK(C18),"",C18)</f>
        <v/>
      </c>
      <c r="Y16" s="46" t="str">
        <f>IF(ISNUMBER(C19),C19,"")</f>
        <v/>
      </c>
      <c r="Z16" s="48" t="str">
        <f>IF(ISNUMBER(X16/(U16*V16)*Y16),X16/(U16*V16)*Y16,"")</f>
        <v/>
      </c>
      <c r="AA16" s="49" t="str">
        <f>IF(ISNUMBER(L16),L16,K16)</f>
        <v>--</v>
      </c>
      <c r="AB16" s="48" t="str">
        <f>IF(ISNUMBER(Y16*X16*K16),Y16*X16*K16,"")</f>
        <v/>
      </c>
      <c r="AC16" s="48" t="str">
        <f>IF(C$26="Kyllä",Y16,"")</f>
        <v/>
      </c>
      <c r="AD16" s="48" t="str">
        <f>IF(C$26="Kyllä",IF(ISNUMBER(X16/(U16*V16)),CEILING(X16/(U16*V16),1),""),"")</f>
        <v/>
      </c>
      <c r="AE16" s="48" t="str">
        <f>IF(ISNUMBER(AD16*AC16),AD16*AC16,"")</f>
        <v/>
      </c>
      <c r="AF16" s="49" t="str">
        <f>IF(ISNUMBER(L18),L18,K18)</f>
        <v>--</v>
      </c>
      <c r="AG16" s="48" t="str">
        <f>IF(ISNUMBER(AC16*AD16*K18),AC16*AD16*K18,"")</f>
        <v/>
      </c>
      <c r="AH16" s="46">
        <f>IF(T16="Jakelukuorma-auto",0,IF(T16="Maansiirtoauto",4,IF(T16="Puoliperävaunu",6,8)))</f>
        <v>8</v>
      </c>
      <c r="AI16" s="46">
        <f>IF(AND(T16="Jakelukuorma-auto",U16=6),0,IF(AND(T16="Jakelukuorma-auto",U16=15),2,0))</f>
        <v>0</v>
      </c>
      <c r="AJ16" s="46">
        <f>IF(W16="maantieajo",0,1)</f>
        <v>1</v>
      </c>
      <c r="AK16" s="104"/>
      <c r="AL16" s="35"/>
      <c r="AM16" s="35"/>
      <c r="AN16" s="36"/>
      <c r="AO16" s="36"/>
      <c r="AP16" s="36"/>
      <c r="AQ16" s="36"/>
      <c r="AR16" s="36"/>
      <c r="AS16" s="36"/>
      <c r="AT16" s="36"/>
      <c r="AU16" s="36"/>
      <c r="AV16" s="36"/>
      <c r="AW16" s="36"/>
      <c r="AX16" s="36"/>
      <c r="AY16" s="36"/>
      <c r="AZ16" s="36"/>
      <c r="BA16" s="36"/>
      <c r="BB16" s="36"/>
      <c r="BC16" s="36"/>
      <c r="BD16" s="36"/>
      <c r="BE16" s="36"/>
    </row>
    <row r="17" spans="2:57" s="30" customFormat="1" ht="15" x14ac:dyDescent="0.2">
      <c r="B17" s="182" t="s">
        <v>457</v>
      </c>
      <c r="C17" s="156" t="s">
        <v>309</v>
      </c>
      <c r="D17" s="33"/>
      <c r="E17" s="33"/>
      <c r="F17" s="33"/>
      <c r="G17" s="33"/>
      <c r="H17" s="57"/>
      <c r="J17" s="169"/>
      <c r="K17" s="169"/>
      <c r="L17" s="169"/>
      <c r="M17" s="40"/>
      <c r="N17" s="40"/>
      <c r="O17" s="250"/>
      <c r="Q17" s="45"/>
      <c r="R17" s="35"/>
      <c r="S17" s="35"/>
      <c r="T17" s="35"/>
      <c r="U17" s="35"/>
      <c r="V17" s="177"/>
      <c r="W17" s="177"/>
      <c r="X17" s="59"/>
      <c r="Y17" s="35"/>
      <c r="Z17" s="59"/>
      <c r="AA17" s="178"/>
      <c r="AB17" s="59"/>
      <c r="AC17" s="59"/>
      <c r="AD17" s="59"/>
      <c r="AE17" s="59"/>
      <c r="AF17" s="178"/>
      <c r="AG17" s="59"/>
      <c r="AH17" s="35"/>
      <c r="AI17" s="35"/>
      <c r="AJ17" s="35"/>
      <c r="AK17" s="104"/>
      <c r="AL17" s="35"/>
      <c r="AM17" s="35"/>
      <c r="AN17" s="36"/>
      <c r="AO17" s="36"/>
      <c r="AP17" s="36"/>
      <c r="AQ17" s="36"/>
      <c r="AR17" s="36"/>
      <c r="AS17" s="36"/>
      <c r="AT17" s="36"/>
      <c r="AU17" s="36"/>
      <c r="AV17" s="36"/>
      <c r="AW17" s="36"/>
      <c r="AX17" s="36"/>
      <c r="AY17" s="36"/>
      <c r="AZ17" s="36"/>
      <c r="BA17" s="36"/>
      <c r="BB17" s="36"/>
      <c r="BC17" s="36"/>
      <c r="BD17" s="36"/>
      <c r="BE17" s="36"/>
    </row>
    <row r="18" spans="2:57" s="30" customFormat="1" ht="15" x14ac:dyDescent="0.2">
      <c r="B18" s="44" t="s">
        <v>521</v>
      </c>
      <c r="C18" s="152"/>
      <c r="D18" s="81" t="s">
        <v>52</v>
      </c>
      <c r="G18" s="33"/>
      <c r="H18" s="81"/>
      <c r="J18" s="32" t="s">
        <v>396</v>
      </c>
      <c r="K18" s="92" t="str">
        <f>IFERROR(IF(ISNUMBER(L18),L18,IF($C$26="Ei","",(VLOOKUP(C16,Kalusto!$C$45:$V$84,19,FALSE)*(VLOOKUP(C17,Muut!$D$40:$E$43,2,FALSE))))),"--")</f>
        <v>--</v>
      </c>
      <c r="L18" s="39"/>
      <c r="M18" s="40" t="s">
        <v>188</v>
      </c>
      <c r="N18" s="40"/>
      <c r="O18" s="250"/>
      <c r="P18" s="33"/>
      <c r="Q18" s="50"/>
      <c r="R18" s="48" t="str">
        <f>IF(ISNUMBER(R16),R16,"")</f>
        <v/>
      </c>
      <c r="S18" s="98" t="s">
        <v>439</v>
      </c>
      <c r="T18" s="35"/>
      <c r="U18" s="35"/>
      <c r="V18" s="35"/>
      <c r="W18" s="35"/>
      <c r="X18" s="35"/>
      <c r="Y18" s="35"/>
      <c r="Z18" s="35"/>
      <c r="AA18" s="35"/>
      <c r="AB18" s="35"/>
      <c r="AC18" s="35"/>
      <c r="AD18" s="35"/>
      <c r="AE18" s="35"/>
      <c r="AF18" s="35"/>
      <c r="AG18" s="35"/>
      <c r="AH18" s="35"/>
      <c r="AI18" s="35"/>
      <c r="AJ18" s="35"/>
      <c r="AK18" s="104"/>
      <c r="AL18" s="35"/>
      <c r="AM18" s="35"/>
      <c r="AN18" s="36"/>
      <c r="AO18" s="36"/>
      <c r="AP18" s="36"/>
      <c r="AQ18" s="36"/>
      <c r="AR18" s="36"/>
      <c r="AS18" s="36"/>
      <c r="AT18" s="36"/>
      <c r="AU18" s="36"/>
      <c r="AV18" s="36"/>
      <c r="AW18" s="36"/>
      <c r="AX18" s="36"/>
      <c r="AY18" s="36"/>
      <c r="AZ18" s="36"/>
      <c r="BA18" s="36"/>
      <c r="BB18" s="36"/>
      <c r="BC18" s="36"/>
      <c r="BD18" s="36"/>
      <c r="BE18" s="36"/>
    </row>
    <row r="19" spans="2:57" s="30" customFormat="1" ht="15" x14ac:dyDescent="0.2">
      <c r="B19" s="44" t="s">
        <v>522</v>
      </c>
      <c r="C19" s="386"/>
      <c r="D19" s="81" t="s">
        <v>5</v>
      </c>
      <c r="G19" s="33"/>
      <c r="H19" s="81"/>
      <c r="I19" s="51"/>
      <c r="J19" s="51"/>
      <c r="K19" s="33"/>
      <c r="L19" s="33"/>
      <c r="M19" s="81"/>
      <c r="N19" s="81"/>
      <c r="O19" s="250"/>
      <c r="P19" s="51"/>
      <c r="Q19" s="50"/>
      <c r="R19" s="35" t="s">
        <v>318</v>
      </c>
      <c r="S19" s="35"/>
      <c r="T19" s="35"/>
      <c r="U19" s="35"/>
      <c r="V19" s="35"/>
      <c r="W19" s="35"/>
      <c r="X19" s="35"/>
      <c r="Y19" s="35"/>
      <c r="Z19" s="35"/>
      <c r="AA19" s="35"/>
      <c r="AB19" s="35"/>
      <c r="AC19" s="35"/>
      <c r="AD19" s="35"/>
      <c r="AE19" s="35"/>
      <c r="AF19" s="35"/>
      <c r="AG19" s="35"/>
      <c r="AH19" s="35"/>
      <c r="AI19" s="35"/>
      <c r="AJ19" s="35"/>
      <c r="AK19" s="104"/>
      <c r="AL19" s="35"/>
      <c r="AM19" s="35"/>
      <c r="AN19" s="36"/>
      <c r="AO19" s="36"/>
      <c r="AP19" s="36"/>
      <c r="AQ19" s="36"/>
      <c r="AR19" s="36"/>
      <c r="AS19" s="36"/>
      <c r="AT19" s="36"/>
      <c r="AU19" s="36"/>
      <c r="AV19" s="36"/>
      <c r="AW19" s="36"/>
      <c r="AX19" s="36"/>
      <c r="AY19" s="36"/>
      <c r="AZ19" s="36"/>
      <c r="BA19" s="36"/>
      <c r="BB19" s="36"/>
      <c r="BC19" s="36"/>
      <c r="BD19" s="36"/>
      <c r="BE19" s="36"/>
    </row>
    <row r="20" spans="2:57" s="30" customFormat="1" ht="15" x14ac:dyDescent="0.2">
      <c r="B20" s="168" t="s">
        <v>394</v>
      </c>
      <c r="C20" s="33"/>
      <c r="D20" s="81"/>
      <c r="G20" s="33"/>
      <c r="H20" s="81"/>
      <c r="J20" s="32"/>
      <c r="K20" s="37" t="s">
        <v>297</v>
      </c>
      <c r="L20" s="37" t="s">
        <v>185</v>
      </c>
      <c r="M20" s="81"/>
      <c r="N20" s="81"/>
      <c r="O20" s="250"/>
      <c r="P20" s="33"/>
      <c r="Q20" s="34"/>
      <c r="R20" s="35" t="s">
        <v>160</v>
      </c>
      <c r="S20" s="35"/>
      <c r="T20" s="35" t="s">
        <v>400</v>
      </c>
      <c r="U20" s="35" t="s">
        <v>399</v>
      </c>
      <c r="V20" s="35" t="s">
        <v>397</v>
      </c>
      <c r="W20" s="35" t="s">
        <v>398</v>
      </c>
      <c r="X20" s="35" t="s">
        <v>401</v>
      </c>
      <c r="Y20" s="35" t="s">
        <v>403</v>
      </c>
      <c r="Z20" s="35" t="s">
        <v>402</v>
      </c>
      <c r="AA20" s="35" t="s">
        <v>186</v>
      </c>
      <c r="AB20" s="35" t="s">
        <v>345</v>
      </c>
      <c r="AC20" s="35" t="s">
        <v>404</v>
      </c>
      <c r="AD20" s="35" t="s">
        <v>346</v>
      </c>
      <c r="AE20" s="35" t="s">
        <v>405</v>
      </c>
      <c r="AF20" s="35" t="s">
        <v>406</v>
      </c>
      <c r="AG20" s="35" t="s">
        <v>578</v>
      </c>
      <c r="AH20" s="35" t="s">
        <v>190</v>
      </c>
      <c r="AI20" s="35" t="s">
        <v>249</v>
      </c>
      <c r="AJ20" s="35" t="s">
        <v>191</v>
      </c>
      <c r="AK20" s="104"/>
      <c r="AL20" s="35"/>
      <c r="AM20" s="35"/>
      <c r="AN20" s="36"/>
      <c r="AO20" s="36"/>
      <c r="AP20" s="36"/>
      <c r="AQ20" s="36"/>
      <c r="AR20" s="36"/>
      <c r="AS20" s="36"/>
      <c r="AT20" s="36"/>
      <c r="AU20" s="36"/>
      <c r="AV20" s="36"/>
      <c r="AW20" s="36"/>
      <c r="AX20" s="36"/>
      <c r="AY20" s="36"/>
      <c r="AZ20" s="36"/>
      <c r="BA20" s="36"/>
      <c r="BB20" s="36"/>
      <c r="BC20" s="36"/>
      <c r="BD20" s="36"/>
      <c r="BE20" s="36"/>
    </row>
    <row r="21" spans="2:57" s="30" customFormat="1" ht="30" x14ac:dyDescent="0.2">
      <c r="B21" s="166" t="s">
        <v>455</v>
      </c>
      <c r="C21" s="471" t="s">
        <v>298</v>
      </c>
      <c r="D21" s="472"/>
      <c r="E21" s="472"/>
      <c r="F21" s="472"/>
      <c r="G21" s="473"/>
      <c r="H21" s="165"/>
      <c r="J21" s="169" t="s">
        <v>395</v>
      </c>
      <c r="K21" s="92" t="str">
        <f>IFERROR(IF(ISNUMBER(L21),L21,(VLOOKUP(C21,Kalusto!$C$45:$L$84,5,FALSE)*(VLOOKUP(C22,Muut!$D$40:$E$43,2,FALSE)))),"--")</f>
        <v>--</v>
      </c>
      <c r="L21" s="39"/>
      <c r="M21" s="40" t="s">
        <v>184</v>
      </c>
      <c r="N21" s="40"/>
      <c r="O21" s="250"/>
      <c r="Q21" s="45"/>
      <c r="R21" s="48" t="str">
        <f>IF(AND(NOT(ISNUMBER(AB21)),NOT(ISNUMBER(AG21))),"",IF(ISNUMBER(AB21),AB21,0)+IF(ISNUMBER(AG21),AG21,0))</f>
        <v/>
      </c>
      <c r="S21" s="98" t="s">
        <v>438</v>
      </c>
      <c r="T21" s="46" t="str">
        <f>IFERROR(IF(ISNUMBER(L21),"Kohdetieto",VLOOKUP(C21,Kalusto!$C$45:$L$84,7,FALSE)),"--")</f>
        <v>--</v>
      </c>
      <c r="U21" s="46" t="str">
        <f>IFERROR(IF(ISNUMBER(L21),"Kohdetieto",VLOOKUP(C21,Kalusto!$C$45:$L$84,8,FALSE)),"--")</f>
        <v>--</v>
      </c>
      <c r="V21" s="47" t="str">
        <f>IFERROR(IF(ISNUMBER(L21),"Kohdetieto",VLOOKUP(C21,Kalusto!$C$45:$L$84,9,FALSE)),"--")</f>
        <v>--</v>
      </c>
      <c r="W21" s="47" t="str">
        <f>IFERROR(IF(ISNUMBER(L21),"Kohdetieto",VLOOKUP(C21,Kalusto!$C$45:$L$84,10,FALSE)),"--")</f>
        <v>--</v>
      </c>
      <c r="X21" s="48" t="str">
        <f>IF(ISBLANK(C23),"",C23)</f>
        <v/>
      </c>
      <c r="Y21" s="46" t="str">
        <f>IF(ISNUMBER(C24),C24,"")</f>
        <v/>
      </c>
      <c r="Z21" s="48" t="str">
        <f>IF(ISNUMBER(X21/(U21*V21)*Y21),X21/(U21*V21)*Y21,"")</f>
        <v/>
      </c>
      <c r="AA21" s="49" t="str">
        <f>IF(ISNUMBER(L21),L21,K21)</f>
        <v>--</v>
      </c>
      <c r="AB21" s="48" t="str">
        <f>IF(ISNUMBER(Y21*X21*K21),Y21*X21*K21,"")</f>
        <v/>
      </c>
      <c r="AC21" s="48" t="str">
        <f>IF(C$26="Kyllä",Y21,"")</f>
        <v/>
      </c>
      <c r="AD21" s="48" t="str">
        <f>IF(C$26="Kyllä",IF(ISNUMBER(X21/(U21*V21)),CEILING(X21/(U21*V21),1),""),"")</f>
        <v/>
      </c>
      <c r="AE21" s="48" t="str">
        <f>IF(ISNUMBER(AD21*AC21),AD21*AC21,"")</f>
        <v/>
      </c>
      <c r="AF21" s="49" t="str">
        <f>IF(ISNUMBER(L23),L23,K23)</f>
        <v>--</v>
      </c>
      <c r="AG21" s="48" t="str">
        <f>IF(ISNUMBER(AC21*AD21*K23),AC21*AD21*K23,"")</f>
        <v/>
      </c>
      <c r="AH21" s="46">
        <f>IF(T21="Jakelukuorma-auto",0,IF(T21="Maansiirtoauto",4,IF(T21="Puoliperävaunu",6,8)))</f>
        <v>8</v>
      </c>
      <c r="AI21" s="46">
        <f>IF(AND(T21="Jakelukuorma-auto",U21=6),0,IF(AND(T21="Jakelukuorma-auto",U21=15),2,0))</f>
        <v>0</v>
      </c>
      <c r="AJ21" s="46">
        <f>IF(W21="maantieajo",0,1)</f>
        <v>1</v>
      </c>
      <c r="AK21" s="104"/>
      <c r="AL21" s="35"/>
      <c r="AM21" s="35"/>
      <c r="AN21" s="36"/>
      <c r="AO21" s="36"/>
      <c r="AP21" s="36"/>
      <c r="AQ21" s="36"/>
      <c r="AR21" s="36"/>
      <c r="AS21" s="36"/>
      <c r="AT21" s="36"/>
      <c r="AU21" s="36"/>
      <c r="AV21" s="36"/>
      <c r="AW21" s="36"/>
      <c r="AX21" s="36"/>
      <c r="AY21" s="36"/>
      <c r="AZ21" s="36"/>
      <c r="BA21" s="36"/>
      <c r="BB21" s="36"/>
      <c r="BC21" s="36"/>
      <c r="BD21" s="36"/>
      <c r="BE21" s="36"/>
    </row>
    <row r="22" spans="2:57" s="30" customFormat="1" ht="15" x14ac:dyDescent="0.2">
      <c r="B22" s="182" t="s">
        <v>457</v>
      </c>
      <c r="C22" s="156" t="s">
        <v>309</v>
      </c>
      <c r="D22" s="33"/>
      <c r="E22" s="33"/>
      <c r="F22" s="33"/>
      <c r="G22" s="33"/>
      <c r="H22" s="57"/>
      <c r="J22" s="169"/>
      <c r="K22" s="169"/>
      <c r="L22" s="169"/>
      <c r="M22" s="40"/>
      <c r="N22" s="40"/>
      <c r="O22" s="250"/>
      <c r="Q22" s="45"/>
      <c r="R22" s="35"/>
      <c r="S22" s="35"/>
      <c r="T22" s="35"/>
      <c r="U22" s="35"/>
      <c r="V22" s="177"/>
      <c r="W22" s="177"/>
      <c r="X22" s="59"/>
      <c r="Y22" s="35"/>
      <c r="Z22" s="59"/>
      <c r="AA22" s="178"/>
      <c r="AB22" s="59"/>
      <c r="AC22" s="59"/>
      <c r="AD22" s="59"/>
      <c r="AE22" s="59"/>
      <c r="AF22" s="178"/>
      <c r="AG22" s="59"/>
      <c r="AH22" s="35"/>
      <c r="AI22" s="35"/>
      <c r="AJ22" s="35"/>
      <c r="AK22" s="104"/>
      <c r="AL22" s="35"/>
      <c r="AM22" s="35"/>
      <c r="AN22" s="36"/>
      <c r="AO22" s="36"/>
      <c r="AP22" s="36"/>
      <c r="AQ22" s="36"/>
      <c r="AR22" s="36"/>
      <c r="AS22" s="36"/>
      <c r="AT22" s="36"/>
      <c r="AU22" s="36"/>
      <c r="AV22" s="36"/>
      <c r="AW22" s="36"/>
      <c r="AX22" s="36"/>
      <c r="AY22" s="36"/>
      <c r="AZ22" s="36"/>
      <c r="BA22" s="36"/>
      <c r="BB22" s="36"/>
      <c r="BC22" s="36"/>
      <c r="BD22" s="36"/>
      <c r="BE22" s="36"/>
    </row>
    <row r="23" spans="2:57" s="30" customFormat="1" ht="15" x14ac:dyDescent="0.2">
      <c r="B23" s="44" t="s">
        <v>456</v>
      </c>
      <c r="C23" s="152"/>
      <c r="D23" s="81" t="s">
        <v>52</v>
      </c>
      <c r="G23" s="33"/>
      <c r="H23" s="81"/>
      <c r="J23" s="32" t="s">
        <v>396</v>
      </c>
      <c r="K23" s="92" t="str">
        <f>IFERROR(IF(ISNUMBER(L23),L23,IF($C$26="Ei","",(VLOOKUP(C21,Kalusto!$C$45:$V$84,19,FALSE)*(VLOOKUP(C22,Muut!$D$40:$E$43,2,FALSE))))),"--")</f>
        <v>--</v>
      </c>
      <c r="L23" s="39"/>
      <c r="M23" s="40" t="s">
        <v>188</v>
      </c>
      <c r="N23" s="40"/>
      <c r="O23" s="250"/>
      <c r="P23" s="33"/>
      <c r="Q23" s="50"/>
      <c r="R23" s="48" t="str">
        <f>IF(ISNUMBER(R21),R21,"")</f>
        <v/>
      </c>
      <c r="S23" s="98" t="s">
        <v>439</v>
      </c>
      <c r="T23" s="35"/>
      <c r="U23" s="35"/>
      <c r="V23" s="35"/>
      <c r="W23" s="35"/>
      <c r="X23" s="35"/>
      <c r="Y23" s="35"/>
      <c r="Z23" s="35"/>
      <c r="AA23" s="35"/>
      <c r="AB23" s="35"/>
      <c r="AC23" s="35"/>
      <c r="AD23" s="35"/>
      <c r="AE23" s="35"/>
      <c r="AF23" s="35"/>
      <c r="AG23" s="35"/>
      <c r="AH23" s="35"/>
      <c r="AI23" s="35"/>
      <c r="AJ23" s="35"/>
      <c r="AK23" s="35"/>
      <c r="AL23" s="35"/>
      <c r="AM23" s="35"/>
      <c r="AN23" s="36"/>
      <c r="AO23" s="36"/>
      <c r="AP23" s="36"/>
      <c r="AQ23" s="36"/>
      <c r="AR23" s="36"/>
      <c r="AS23" s="36"/>
      <c r="AT23" s="36"/>
      <c r="AU23" s="36"/>
      <c r="AV23" s="36"/>
      <c r="AW23" s="36"/>
      <c r="AX23" s="36"/>
      <c r="AY23" s="36"/>
      <c r="AZ23" s="36"/>
      <c r="BA23" s="36"/>
      <c r="BB23" s="36"/>
      <c r="BC23" s="36"/>
      <c r="BD23" s="36"/>
      <c r="BE23" s="36"/>
    </row>
    <row r="24" spans="2:57" s="30" customFormat="1" ht="15" x14ac:dyDescent="0.2">
      <c r="B24" s="44" t="s">
        <v>458</v>
      </c>
      <c r="C24" s="152"/>
      <c r="D24" s="81" t="s">
        <v>5</v>
      </c>
      <c r="G24" s="33"/>
      <c r="H24" s="81"/>
      <c r="I24" s="51"/>
      <c r="J24" s="51"/>
      <c r="K24" s="33"/>
      <c r="L24" s="33"/>
      <c r="M24" s="81"/>
      <c r="N24" s="81"/>
      <c r="O24" s="250"/>
      <c r="P24" s="51"/>
      <c r="Q24" s="50"/>
      <c r="R24" s="35"/>
      <c r="S24" s="35"/>
      <c r="T24" s="35"/>
      <c r="U24" s="35"/>
      <c r="V24" s="35"/>
      <c r="W24" s="35"/>
      <c r="X24" s="35"/>
      <c r="Y24" s="35"/>
      <c r="Z24" s="35"/>
      <c r="AA24" s="35"/>
      <c r="AB24" s="35"/>
      <c r="AC24" s="35"/>
      <c r="AD24" s="35"/>
      <c r="AE24" s="35"/>
      <c r="AF24" s="35"/>
      <c r="AG24" s="35"/>
      <c r="AH24" s="35"/>
      <c r="AI24" s="35"/>
      <c r="AJ24" s="35"/>
      <c r="AK24" s="35"/>
      <c r="AL24" s="35"/>
      <c r="AM24" s="35"/>
      <c r="AN24" s="36"/>
      <c r="AO24" s="36"/>
      <c r="AP24" s="36"/>
      <c r="AQ24" s="36"/>
      <c r="AR24" s="36"/>
      <c r="AS24" s="36"/>
      <c r="AT24" s="36"/>
      <c r="AU24" s="36"/>
      <c r="AV24" s="36"/>
      <c r="AW24" s="36"/>
      <c r="AX24" s="36"/>
      <c r="AY24" s="36"/>
      <c r="AZ24" s="36"/>
      <c r="BA24" s="36"/>
      <c r="BB24" s="36"/>
      <c r="BC24" s="36"/>
      <c r="BD24" s="36"/>
      <c r="BE24" s="36"/>
    </row>
    <row r="25" spans="2:57" s="30" customFormat="1" ht="15" x14ac:dyDescent="0.2">
      <c r="C25" s="33"/>
      <c r="D25" s="81"/>
      <c r="G25" s="33"/>
      <c r="H25" s="81"/>
      <c r="J25" s="32"/>
      <c r="K25" s="33"/>
      <c r="L25" s="33"/>
      <c r="M25" s="81"/>
      <c r="N25" s="81"/>
      <c r="O25" s="250"/>
      <c r="Q25" s="34"/>
      <c r="R25" s="35"/>
      <c r="S25" s="35"/>
      <c r="T25" s="35"/>
      <c r="U25" s="35"/>
      <c r="V25" s="35"/>
      <c r="W25" s="35"/>
      <c r="X25" s="35"/>
      <c r="Y25" s="35"/>
      <c r="Z25" s="35"/>
      <c r="AA25" s="35"/>
      <c r="AB25" s="35"/>
      <c r="AC25" s="35"/>
      <c r="AD25" s="35"/>
      <c r="AE25" s="35"/>
      <c r="AF25" s="35"/>
      <c r="AG25" s="35"/>
      <c r="AH25" s="35"/>
      <c r="AI25" s="35"/>
      <c r="AJ25" s="35"/>
      <c r="AK25" s="35"/>
      <c r="AL25" s="35"/>
      <c r="AM25" s="35"/>
      <c r="AN25" s="36"/>
      <c r="AO25" s="36"/>
      <c r="AP25" s="36"/>
      <c r="AQ25" s="36"/>
      <c r="AR25" s="36"/>
      <c r="AS25" s="36"/>
      <c r="AT25" s="36"/>
      <c r="AU25" s="36"/>
      <c r="AV25" s="36"/>
      <c r="AW25" s="36"/>
      <c r="AX25" s="36"/>
      <c r="AY25" s="36"/>
      <c r="AZ25" s="36"/>
      <c r="BA25" s="36"/>
      <c r="BB25" s="36"/>
      <c r="BC25" s="36"/>
      <c r="BD25" s="36"/>
      <c r="BE25" s="36"/>
    </row>
    <row r="26" spans="2:57" s="30" customFormat="1" ht="60" x14ac:dyDescent="0.2">
      <c r="B26" s="76" t="s">
        <v>606</v>
      </c>
      <c r="C26" s="471" t="s">
        <v>6</v>
      </c>
      <c r="D26" s="473"/>
      <c r="G26" s="80" t="str">
        <f>C26</f>
        <v>Kyllä</v>
      </c>
      <c r="H26" s="81"/>
      <c r="J26" s="32"/>
      <c r="K26" s="33"/>
      <c r="L26" s="33"/>
      <c r="M26" s="81"/>
      <c r="N26" s="81"/>
      <c r="O26" s="250"/>
      <c r="Q26" s="34"/>
      <c r="R26" s="95"/>
      <c r="S26" s="35"/>
      <c r="T26" s="35"/>
      <c r="U26" s="35"/>
      <c r="V26" s="35"/>
      <c r="W26" s="35"/>
      <c r="X26" s="35"/>
      <c r="Y26" s="35"/>
      <c r="Z26" s="35"/>
      <c r="AA26" s="35"/>
      <c r="AB26" s="35"/>
      <c r="AC26" s="35"/>
      <c r="AD26" s="35"/>
      <c r="AE26" s="35"/>
      <c r="AF26" s="35"/>
      <c r="AG26" s="35"/>
      <c r="AH26" s="35"/>
      <c r="AI26" s="35"/>
      <c r="AJ26" s="35"/>
      <c r="AK26" s="35"/>
      <c r="AL26" s="35"/>
      <c r="AM26" s="35"/>
      <c r="AN26" s="36"/>
      <c r="AO26" s="36"/>
      <c r="AP26" s="36"/>
      <c r="AQ26" s="36"/>
      <c r="AR26" s="36"/>
      <c r="AS26" s="36"/>
      <c r="AT26" s="36"/>
      <c r="AU26" s="36"/>
      <c r="AV26" s="36"/>
      <c r="AW26" s="36"/>
      <c r="AX26" s="36"/>
      <c r="AY26" s="36"/>
      <c r="AZ26" s="36"/>
      <c r="BA26" s="36"/>
      <c r="BB26" s="36"/>
      <c r="BC26" s="36"/>
      <c r="BD26" s="36"/>
      <c r="BE26" s="36"/>
    </row>
    <row r="27" spans="2:57" s="30" customFormat="1" ht="15" x14ac:dyDescent="0.2">
      <c r="C27" s="33"/>
      <c r="D27" s="81"/>
      <c r="G27" s="33"/>
      <c r="H27" s="81"/>
      <c r="K27" s="33"/>
      <c r="L27" s="33"/>
      <c r="M27" s="81"/>
      <c r="N27" s="81"/>
      <c r="O27" s="81"/>
      <c r="Q27" s="34"/>
      <c r="R27" s="95"/>
      <c r="S27" s="35"/>
      <c r="T27" s="35"/>
      <c r="U27" s="35"/>
      <c r="V27" s="35"/>
      <c r="W27" s="35"/>
      <c r="X27" s="35"/>
      <c r="Y27" s="35"/>
      <c r="Z27" s="35"/>
      <c r="AA27" s="35"/>
      <c r="AB27" s="35"/>
      <c r="AC27" s="35"/>
      <c r="AD27" s="35"/>
      <c r="AE27" s="35"/>
      <c r="AF27" s="35"/>
      <c r="AG27" s="35"/>
      <c r="AH27" s="35"/>
      <c r="AI27" s="35"/>
      <c r="AJ27" s="35"/>
      <c r="AK27" s="35"/>
      <c r="AL27" s="35"/>
      <c r="AM27" s="35"/>
      <c r="AN27" s="36"/>
      <c r="AO27" s="36"/>
      <c r="AP27" s="36"/>
      <c r="AQ27" s="36"/>
      <c r="AR27" s="36"/>
      <c r="AS27" s="36"/>
      <c r="AT27" s="36"/>
      <c r="AU27" s="36"/>
      <c r="AV27" s="36"/>
      <c r="AW27" s="36"/>
      <c r="AX27" s="36"/>
      <c r="AY27" s="36"/>
      <c r="AZ27" s="36"/>
      <c r="BA27" s="36"/>
      <c r="BB27" s="36"/>
      <c r="BC27" s="36"/>
      <c r="BD27" s="36"/>
      <c r="BE27" s="36"/>
    </row>
    <row r="28" spans="2:57" s="289" customFormat="1" ht="18" x14ac:dyDescent="0.2">
      <c r="B28" s="286" t="s">
        <v>459</v>
      </c>
      <c r="C28" s="287"/>
      <c r="D28" s="288"/>
      <c r="G28" s="287"/>
      <c r="H28" s="288"/>
      <c r="K28" s="287"/>
      <c r="L28" s="287"/>
      <c r="M28" s="288"/>
      <c r="N28" s="288"/>
      <c r="O28" s="291"/>
      <c r="P28" s="311"/>
      <c r="Q28" s="295"/>
      <c r="S28" s="294"/>
      <c r="T28" s="294"/>
      <c r="U28" s="294"/>
      <c r="V28" s="294"/>
      <c r="W28" s="294"/>
      <c r="X28" s="294"/>
      <c r="Y28" s="294"/>
      <c r="Z28" s="294"/>
      <c r="AA28" s="294"/>
      <c r="AB28" s="294"/>
      <c r="AC28" s="294"/>
      <c r="AD28" s="294"/>
      <c r="AE28" s="294"/>
      <c r="AF28" s="294"/>
      <c r="AG28" s="294"/>
      <c r="AH28" s="294"/>
      <c r="AI28" s="294"/>
      <c r="AJ28" s="294"/>
      <c r="AK28" s="294"/>
      <c r="AL28" s="294"/>
      <c r="AM28" s="294"/>
      <c r="AN28" s="295"/>
      <c r="AO28" s="295"/>
      <c r="AP28" s="295"/>
      <c r="AQ28" s="295"/>
      <c r="AR28" s="295"/>
      <c r="AS28" s="295"/>
      <c r="AT28" s="295"/>
      <c r="AU28" s="295"/>
      <c r="AV28" s="295"/>
      <c r="AW28" s="295"/>
      <c r="AX28" s="295"/>
      <c r="AY28" s="295"/>
      <c r="AZ28" s="295"/>
      <c r="BA28" s="295"/>
      <c r="BB28" s="295"/>
      <c r="BC28" s="295"/>
      <c r="BD28" s="295"/>
      <c r="BE28" s="295"/>
    </row>
    <row r="29" spans="2:57" s="30" customFormat="1" ht="16.5" thickBot="1" x14ac:dyDescent="0.25">
      <c r="B29" s="8"/>
      <c r="C29" s="33"/>
      <c r="D29" s="81"/>
      <c r="G29" s="33"/>
      <c r="H29" s="81"/>
      <c r="J29" s="32"/>
      <c r="K29" s="37" t="s">
        <v>297</v>
      </c>
      <c r="L29" s="37" t="s">
        <v>185</v>
      </c>
      <c r="M29" s="83"/>
      <c r="N29" s="83"/>
      <c r="O29" s="249" t="s">
        <v>584</v>
      </c>
      <c r="P29" s="37"/>
      <c r="Q29" s="34"/>
      <c r="R29" s="59" t="s">
        <v>318</v>
      </c>
      <c r="S29" s="35"/>
      <c r="T29" s="35"/>
      <c r="U29" s="35"/>
      <c r="V29" s="35"/>
      <c r="W29" s="35"/>
      <c r="X29" s="35"/>
      <c r="Y29" s="35"/>
      <c r="Z29" s="35"/>
      <c r="AA29" s="35"/>
      <c r="AB29" s="35"/>
      <c r="AC29" s="35"/>
      <c r="AD29" s="35"/>
      <c r="AE29" s="35"/>
      <c r="AF29" s="35"/>
      <c r="AG29" s="35"/>
      <c r="AH29" s="35"/>
      <c r="AI29" s="35"/>
      <c r="AJ29" s="35"/>
      <c r="AK29" s="35"/>
      <c r="AL29" s="35"/>
      <c r="AM29" s="35"/>
      <c r="AN29" s="36"/>
      <c r="AO29" s="36"/>
      <c r="AP29" s="36"/>
      <c r="AQ29" s="36"/>
      <c r="AR29" s="36"/>
      <c r="AS29" s="36"/>
      <c r="AT29" s="36"/>
      <c r="AU29" s="36"/>
      <c r="AV29" s="36"/>
      <c r="AW29" s="36"/>
      <c r="AX29" s="36"/>
      <c r="AY29" s="36"/>
      <c r="AZ29" s="36"/>
      <c r="BA29" s="36"/>
      <c r="BB29" s="36"/>
      <c r="BC29" s="36"/>
      <c r="BD29" s="36"/>
      <c r="BE29" s="36"/>
    </row>
    <row r="30" spans="2:57" s="30" customFormat="1" ht="15.75" thickBot="1" x14ac:dyDescent="0.25">
      <c r="B30" s="38" t="s">
        <v>428</v>
      </c>
      <c r="C30" s="152"/>
      <c r="D30" s="85" t="s">
        <v>162</v>
      </c>
      <c r="E30" s="31"/>
      <c r="F30" s="31"/>
      <c r="G30" s="33"/>
      <c r="H30" s="81"/>
      <c r="J30" s="32" t="s">
        <v>410</v>
      </c>
      <c r="K30" s="92">
        <f>IF(ISNUMBER(L30),L30,Muut!$F$5)</f>
        <v>8.4</v>
      </c>
      <c r="L30" s="39"/>
      <c r="M30" s="40" t="s">
        <v>266</v>
      </c>
      <c r="N30" s="40"/>
      <c r="O30" s="250"/>
      <c r="Q30" s="34"/>
      <c r="R30" s="128" t="str">
        <f>IF(ISNUMBER(C30),IF(ISNUMBER(L30),L30*C30,K30*C30),"")</f>
        <v/>
      </c>
      <c r="S30" s="98" t="s">
        <v>317</v>
      </c>
      <c r="T30" s="42"/>
      <c r="U30" s="42"/>
      <c r="V30" s="42"/>
      <c r="W30" s="35"/>
      <c r="X30" s="35"/>
      <c r="Y30" s="35"/>
      <c r="Z30" s="35"/>
      <c r="AA30" s="35"/>
      <c r="AB30" s="35"/>
      <c r="AC30" s="35"/>
      <c r="AD30" s="35"/>
      <c r="AE30" s="35"/>
      <c r="AF30" s="35"/>
      <c r="AG30" s="35"/>
      <c r="AH30" s="35"/>
      <c r="AI30" s="35"/>
      <c r="AJ30" s="35"/>
      <c r="AK30" s="35"/>
      <c r="AL30" s="35"/>
      <c r="AM30" s="35"/>
      <c r="AN30" s="36"/>
      <c r="AO30" s="36"/>
      <c r="AP30" s="36"/>
      <c r="AQ30" s="36"/>
      <c r="AR30" s="36"/>
      <c r="AS30" s="36"/>
      <c r="AT30" s="36"/>
      <c r="AU30" s="36"/>
      <c r="AV30" s="36"/>
      <c r="AW30" s="36"/>
      <c r="AX30" s="36"/>
      <c r="AY30" s="36"/>
      <c r="AZ30" s="36"/>
      <c r="BA30" s="36"/>
      <c r="BB30" s="36"/>
      <c r="BC30" s="36"/>
      <c r="BD30" s="36"/>
      <c r="BE30" s="36"/>
    </row>
    <row r="31" spans="2:57" s="30" customFormat="1" ht="15" x14ac:dyDescent="0.2">
      <c r="B31" s="166" t="s">
        <v>460</v>
      </c>
      <c r="C31" s="156" t="s">
        <v>309</v>
      </c>
      <c r="D31" s="85"/>
      <c r="E31" s="31"/>
      <c r="F31" s="31"/>
      <c r="G31" s="33"/>
      <c r="H31" s="81"/>
      <c r="J31" s="32" t="s">
        <v>409</v>
      </c>
      <c r="K31" s="92" t="str">
        <f>IFERROR(Muut!$F$6*VLOOKUP(C31,Muut!$D$40:$E$43,2,FALSE),"--")</f>
        <v>--</v>
      </c>
      <c r="L31" s="39"/>
      <c r="M31" s="40" t="s">
        <v>266</v>
      </c>
      <c r="N31" s="40"/>
      <c r="O31" s="259"/>
      <c r="Q31" s="34"/>
      <c r="R31" s="127" t="str">
        <f>IF(ISNUMBER(C30),IF(ISNUMBER(L31),L31*C30,K31*C30),"")</f>
        <v/>
      </c>
      <c r="S31" s="98" t="s">
        <v>160</v>
      </c>
      <c r="T31" s="42"/>
      <c r="U31" s="42"/>
      <c r="V31" s="42"/>
      <c r="W31" s="35"/>
      <c r="X31" s="35"/>
      <c r="Y31" s="35"/>
      <c r="Z31" s="35"/>
      <c r="AA31" s="35"/>
      <c r="AB31" s="35"/>
      <c r="AC31" s="35"/>
      <c r="AD31" s="35"/>
      <c r="AE31" s="35"/>
      <c r="AF31" s="35"/>
      <c r="AG31" s="35"/>
      <c r="AH31" s="35"/>
      <c r="AI31" s="35"/>
      <c r="AJ31" s="35"/>
      <c r="AK31" s="35"/>
      <c r="AL31" s="35"/>
      <c r="AM31" s="35"/>
      <c r="AN31" s="36"/>
      <c r="AO31" s="36"/>
      <c r="AP31" s="36"/>
      <c r="AQ31" s="36"/>
      <c r="AR31" s="36"/>
      <c r="AS31" s="36"/>
      <c r="AT31" s="36"/>
      <c r="AU31" s="36"/>
      <c r="AV31" s="36"/>
      <c r="AW31" s="36"/>
      <c r="AX31" s="36"/>
      <c r="AY31" s="36"/>
      <c r="AZ31" s="36"/>
      <c r="BA31" s="36"/>
      <c r="BB31" s="36"/>
      <c r="BC31" s="36"/>
      <c r="BD31" s="36"/>
      <c r="BE31" s="36"/>
    </row>
    <row r="32" spans="2:57" s="30" customFormat="1" ht="15" x14ac:dyDescent="0.2">
      <c r="B32" s="38" t="s">
        <v>429</v>
      </c>
      <c r="C32" s="152"/>
      <c r="D32" s="85" t="s">
        <v>162</v>
      </c>
      <c r="E32" s="31"/>
      <c r="F32" s="31"/>
      <c r="G32" s="33"/>
      <c r="H32" s="81"/>
      <c r="J32" s="32" t="s">
        <v>408</v>
      </c>
      <c r="K32" s="92" t="str">
        <f>IFERROR(Muut!$F$7*VLOOKUP(C33,Muut!$D$40:$E$43,2,FALSE),"--")</f>
        <v>--</v>
      </c>
      <c r="L32" s="39"/>
      <c r="M32" s="40" t="s">
        <v>266</v>
      </c>
      <c r="N32" s="40"/>
      <c r="O32" s="259"/>
      <c r="Q32" s="34"/>
      <c r="R32" s="46" t="str">
        <f>IF(ISNUMBER(C32),IF(ISNUMBER(L32),L32*C32,K32*C32),"")</f>
        <v/>
      </c>
      <c r="S32" s="98" t="s">
        <v>160</v>
      </c>
      <c r="T32" s="42"/>
      <c r="U32" s="42"/>
      <c r="V32" s="42"/>
      <c r="W32" s="35"/>
      <c r="X32" s="35"/>
      <c r="Y32" s="35"/>
      <c r="Z32" s="35"/>
      <c r="AA32" s="35"/>
      <c r="AB32" s="35"/>
      <c r="AC32" s="35"/>
      <c r="AD32" s="35"/>
      <c r="AE32" s="35"/>
      <c r="AF32" s="35"/>
      <c r="AG32" s="35"/>
      <c r="AH32" s="35"/>
      <c r="AI32" s="35"/>
      <c r="AJ32" s="35"/>
      <c r="AK32" s="35"/>
      <c r="AL32" s="35"/>
      <c r="AM32" s="35"/>
      <c r="AN32" s="36"/>
      <c r="AO32" s="36"/>
      <c r="AP32" s="36"/>
      <c r="AQ32" s="36"/>
      <c r="AR32" s="36"/>
      <c r="AS32" s="36"/>
      <c r="AT32" s="36"/>
      <c r="AU32" s="36"/>
      <c r="AV32" s="36"/>
      <c r="AW32" s="36"/>
      <c r="AX32" s="36"/>
      <c r="AY32" s="36"/>
      <c r="AZ32" s="36"/>
      <c r="BA32" s="36"/>
      <c r="BB32" s="36"/>
      <c r="BC32" s="36"/>
      <c r="BD32" s="36"/>
      <c r="BE32" s="36"/>
    </row>
    <row r="33" spans="2:57" s="30" customFormat="1" ht="15" x14ac:dyDescent="0.2">
      <c r="B33" s="166" t="s">
        <v>460</v>
      </c>
      <c r="C33" s="156" t="s">
        <v>309</v>
      </c>
      <c r="D33" s="33"/>
      <c r="E33" s="33"/>
      <c r="F33" s="33"/>
      <c r="G33" s="33"/>
      <c r="H33" s="57"/>
      <c r="J33" s="169"/>
      <c r="K33" s="169"/>
      <c r="L33" s="169"/>
      <c r="M33" s="40"/>
      <c r="N33" s="40"/>
      <c r="O33" s="259"/>
      <c r="Q33" s="45"/>
      <c r="R33" s="98"/>
      <c r="S33" s="98"/>
      <c r="T33" s="35"/>
      <c r="U33" s="35"/>
      <c r="V33" s="177"/>
      <c r="W33" s="177"/>
      <c r="X33" s="59"/>
      <c r="Y33" s="35"/>
      <c r="Z33" s="59"/>
      <c r="AA33" s="178"/>
      <c r="AB33" s="59"/>
      <c r="AC33" s="59"/>
      <c r="AD33" s="59"/>
      <c r="AE33" s="59"/>
      <c r="AF33" s="178"/>
      <c r="AG33" s="59"/>
      <c r="AH33" s="35"/>
      <c r="AI33" s="35"/>
      <c r="AJ33" s="35"/>
      <c r="AK33" s="104"/>
      <c r="AL33" s="35"/>
      <c r="AM33" s="35"/>
      <c r="AN33" s="36"/>
      <c r="AO33" s="36"/>
      <c r="AP33" s="36"/>
      <c r="AQ33" s="36"/>
      <c r="AR33" s="36"/>
      <c r="AS33" s="36"/>
      <c r="AT33" s="36"/>
      <c r="AU33" s="36"/>
      <c r="AV33" s="36"/>
      <c r="AW33" s="36"/>
      <c r="AX33" s="36"/>
      <c r="AY33" s="36"/>
      <c r="AZ33" s="36"/>
      <c r="BA33" s="36"/>
      <c r="BB33" s="36"/>
      <c r="BC33" s="36"/>
      <c r="BD33" s="36"/>
      <c r="BE33" s="36"/>
    </row>
    <row r="34" spans="2:57" s="30" customFormat="1" ht="15" x14ac:dyDescent="0.2">
      <c r="B34" s="38" t="s">
        <v>358</v>
      </c>
      <c r="C34" s="152"/>
      <c r="D34" s="85" t="s">
        <v>163</v>
      </c>
      <c r="E34" s="31"/>
      <c r="F34" s="31"/>
      <c r="G34" s="33"/>
      <c r="H34" s="81"/>
      <c r="J34" s="32" t="s">
        <v>407</v>
      </c>
      <c r="K34" s="92" t="str">
        <f>IFERROR(Muut!$F$8*VLOOKUP(C35,Muut!$D$40:$E$43,2,FALSE),"--")</f>
        <v>--</v>
      </c>
      <c r="L34" s="39"/>
      <c r="M34" s="40" t="s">
        <v>207</v>
      </c>
      <c r="N34" s="40"/>
      <c r="O34" s="259"/>
      <c r="Q34" s="34"/>
      <c r="R34" s="46" t="str">
        <f>IF(ISNUMBER(C34),IF(ISNUMBER(L34),L34*C34,K34*C34),"")</f>
        <v/>
      </c>
      <c r="S34" s="98" t="s">
        <v>160</v>
      </c>
      <c r="T34" s="42"/>
      <c r="U34" s="42"/>
      <c r="V34" s="42"/>
      <c r="W34" s="35"/>
      <c r="X34" s="35"/>
      <c r="Y34" s="35"/>
      <c r="Z34" s="35"/>
      <c r="AA34" s="35"/>
      <c r="AB34" s="35"/>
      <c r="AC34" s="35"/>
      <c r="AD34" s="35"/>
      <c r="AE34" s="35"/>
      <c r="AF34" s="35"/>
      <c r="AG34" s="35"/>
      <c r="AH34" s="35"/>
      <c r="AI34" s="35"/>
      <c r="AJ34" s="35"/>
      <c r="AK34" s="35"/>
      <c r="AL34" s="35"/>
      <c r="AM34" s="35"/>
      <c r="AN34" s="36"/>
      <c r="AO34" s="36"/>
      <c r="AP34" s="36"/>
      <c r="AQ34" s="36"/>
      <c r="AR34" s="36"/>
      <c r="AS34" s="36"/>
      <c r="AT34" s="36"/>
      <c r="AU34" s="36"/>
      <c r="AV34" s="36"/>
      <c r="AW34" s="36"/>
      <c r="AX34" s="36"/>
      <c r="AY34" s="36"/>
      <c r="AZ34" s="36"/>
      <c r="BA34" s="36"/>
      <c r="BB34" s="36"/>
      <c r="BC34" s="36"/>
      <c r="BD34" s="36"/>
      <c r="BE34" s="36"/>
    </row>
    <row r="35" spans="2:57" s="30" customFormat="1" ht="15" x14ac:dyDescent="0.2">
      <c r="B35" s="166" t="s">
        <v>460</v>
      </c>
      <c r="C35" s="156" t="s">
        <v>309</v>
      </c>
      <c r="D35" s="33"/>
      <c r="E35" s="33"/>
      <c r="F35" s="33"/>
      <c r="G35" s="33"/>
      <c r="H35" s="57"/>
      <c r="J35" s="169"/>
      <c r="K35" s="169"/>
      <c r="L35" s="169"/>
      <c r="M35" s="40"/>
      <c r="N35" s="40"/>
      <c r="O35" s="259"/>
      <c r="Q35" s="45"/>
      <c r="R35" s="98"/>
      <c r="S35" s="98"/>
      <c r="T35" s="35"/>
      <c r="U35" s="35"/>
      <c r="V35" s="177"/>
      <c r="W35" s="177"/>
      <c r="X35" s="59"/>
      <c r="Y35" s="35"/>
      <c r="Z35" s="59"/>
      <c r="AA35" s="178"/>
      <c r="AB35" s="59"/>
      <c r="AC35" s="59"/>
      <c r="AD35" s="59"/>
      <c r="AE35" s="59"/>
      <c r="AF35" s="178"/>
      <c r="AG35" s="59"/>
      <c r="AH35" s="35"/>
      <c r="AI35" s="35"/>
      <c r="AJ35" s="35"/>
      <c r="AK35" s="104"/>
      <c r="AL35" s="35"/>
      <c r="AM35" s="35"/>
      <c r="AN35" s="36"/>
      <c r="AO35" s="36"/>
      <c r="AP35" s="36"/>
      <c r="AQ35" s="36"/>
      <c r="AR35" s="36"/>
      <c r="AS35" s="36"/>
      <c r="AT35" s="36"/>
      <c r="AU35" s="36"/>
      <c r="AV35" s="36"/>
      <c r="AW35" s="36"/>
      <c r="AX35" s="36"/>
      <c r="AY35" s="36"/>
      <c r="AZ35" s="36"/>
      <c r="BA35" s="36"/>
      <c r="BB35" s="36"/>
      <c r="BC35" s="36"/>
      <c r="BD35" s="36"/>
      <c r="BE35" s="36"/>
    </row>
    <row r="36" spans="2:57" s="30" customFormat="1" ht="15.75" x14ac:dyDescent="0.2">
      <c r="B36" s="8"/>
      <c r="C36" s="33"/>
      <c r="D36" s="81"/>
      <c r="G36" s="33"/>
      <c r="H36" s="81"/>
      <c r="K36" s="33"/>
      <c r="L36" s="33"/>
      <c r="M36" s="81"/>
      <c r="N36" s="81"/>
      <c r="O36" s="81"/>
      <c r="Q36" s="34"/>
      <c r="R36" s="35"/>
      <c r="S36" s="35"/>
      <c r="T36" s="35"/>
      <c r="U36" s="35"/>
      <c r="V36" s="35"/>
      <c r="W36" s="35"/>
      <c r="X36" s="35"/>
      <c r="Y36" s="35"/>
      <c r="Z36" s="35"/>
      <c r="AA36" s="35"/>
      <c r="AB36" s="35"/>
      <c r="AC36" s="35"/>
      <c r="AD36" s="35"/>
      <c r="AE36" s="35"/>
      <c r="AF36" s="35"/>
      <c r="AG36" s="35"/>
      <c r="AH36" s="35"/>
      <c r="AI36" s="35"/>
      <c r="AJ36" s="35"/>
      <c r="AK36" s="35"/>
      <c r="AL36" s="35"/>
      <c r="AM36" s="35"/>
      <c r="AN36" s="36"/>
      <c r="AO36" s="36"/>
      <c r="AP36" s="36"/>
      <c r="AQ36" s="36"/>
      <c r="AR36" s="36"/>
      <c r="AS36" s="36"/>
      <c r="AT36" s="36"/>
      <c r="AU36" s="36"/>
      <c r="AV36" s="36"/>
      <c r="AW36" s="36"/>
      <c r="AX36" s="36"/>
      <c r="AY36" s="36"/>
      <c r="AZ36" s="36"/>
      <c r="BA36" s="36"/>
      <c r="BB36" s="36"/>
      <c r="BC36" s="36"/>
      <c r="BD36" s="36"/>
      <c r="BE36" s="36"/>
    </row>
    <row r="37" spans="2:57" s="289" customFormat="1" ht="18" x14ac:dyDescent="0.2">
      <c r="B37" s="286" t="s">
        <v>557</v>
      </c>
      <c r="C37" s="287"/>
      <c r="D37" s="288"/>
      <c r="G37" s="287"/>
      <c r="H37" s="288"/>
      <c r="K37" s="287"/>
      <c r="L37" s="287"/>
      <c r="M37" s="288"/>
      <c r="N37" s="288"/>
      <c r="O37" s="291"/>
      <c r="P37" s="311"/>
      <c r="Q37" s="295"/>
      <c r="S37" s="294"/>
      <c r="T37" s="294"/>
      <c r="U37" s="294"/>
      <c r="V37" s="294"/>
      <c r="W37" s="294"/>
      <c r="X37" s="294"/>
      <c r="Y37" s="294"/>
      <c r="Z37" s="294"/>
      <c r="AA37" s="294"/>
      <c r="AB37" s="294"/>
      <c r="AC37" s="294"/>
      <c r="AD37" s="294"/>
      <c r="AE37" s="294"/>
      <c r="AF37" s="294"/>
      <c r="AG37" s="294"/>
      <c r="AH37" s="294"/>
      <c r="AI37" s="294"/>
      <c r="AJ37" s="294"/>
      <c r="AK37" s="294"/>
      <c r="AL37" s="294"/>
      <c r="AM37" s="294"/>
      <c r="AN37" s="295"/>
      <c r="AO37" s="295"/>
      <c r="AP37" s="295"/>
      <c r="AQ37" s="295"/>
      <c r="AR37" s="295"/>
      <c r="AS37" s="295"/>
      <c r="AT37" s="295"/>
      <c r="AU37" s="295"/>
      <c r="AV37" s="295"/>
      <c r="AW37" s="295"/>
      <c r="AX37" s="295"/>
      <c r="AY37" s="295"/>
      <c r="AZ37" s="295"/>
      <c r="BA37" s="295"/>
      <c r="BB37" s="295"/>
      <c r="BC37" s="295"/>
      <c r="BD37" s="295"/>
      <c r="BE37" s="295"/>
    </row>
    <row r="38" spans="2:57" s="30" customFormat="1" ht="15" x14ac:dyDescent="0.2">
      <c r="B38" s="52"/>
      <c r="Q38" s="129"/>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row>
    <row r="39" spans="2:57" s="30" customFormat="1" ht="15" x14ac:dyDescent="0.2">
      <c r="B39" s="151" t="s">
        <v>354</v>
      </c>
      <c r="C39" s="52"/>
      <c r="D39" s="52"/>
      <c r="E39" s="52"/>
      <c r="F39" s="52"/>
      <c r="G39" s="52"/>
      <c r="H39" s="52"/>
      <c r="I39" s="52"/>
      <c r="J39" s="52"/>
      <c r="K39" s="37" t="s">
        <v>297</v>
      </c>
      <c r="L39" s="37" t="s">
        <v>185</v>
      </c>
      <c r="M39" s="81"/>
      <c r="N39" s="81"/>
      <c r="O39" s="249" t="s">
        <v>584</v>
      </c>
      <c r="P39" s="37"/>
      <c r="Q39" s="34"/>
      <c r="R39" s="59" t="s">
        <v>318</v>
      </c>
      <c r="S39" s="35"/>
      <c r="T39" s="35" t="s">
        <v>246</v>
      </c>
      <c r="U39" s="35" t="s">
        <v>319</v>
      </c>
      <c r="V39" s="35" t="s">
        <v>320</v>
      </c>
      <c r="W39" s="35"/>
      <c r="X39" s="35"/>
      <c r="Y39" s="35"/>
      <c r="Z39" s="35"/>
      <c r="AA39" s="60"/>
      <c r="AB39" s="35"/>
      <c r="AC39" s="35"/>
      <c r="AD39" s="35"/>
      <c r="AE39" s="35"/>
      <c r="AF39" s="35"/>
      <c r="AG39" s="35"/>
      <c r="AH39" s="35"/>
      <c r="AI39" s="35"/>
      <c r="AJ39" s="35"/>
      <c r="AK39" s="35"/>
      <c r="AL39" s="35"/>
      <c r="AM39" s="35"/>
      <c r="AN39" s="36"/>
      <c r="AO39" s="36"/>
      <c r="AP39" s="36"/>
      <c r="AQ39" s="36"/>
      <c r="AR39" s="36"/>
      <c r="AS39" s="36"/>
      <c r="AT39" s="36"/>
      <c r="AU39" s="36"/>
      <c r="AV39" s="36"/>
      <c r="AW39" s="36"/>
      <c r="AX39" s="36"/>
      <c r="AY39" s="36"/>
      <c r="AZ39" s="36"/>
      <c r="BA39" s="36"/>
      <c r="BB39" s="36"/>
      <c r="BC39" s="36"/>
      <c r="BD39" s="36"/>
      <c r="BE39" s="36"/>
    </row>
    <row r="40" spans="2:57" s="30" customFormat="1" ht="15" x14ac:dyDescent="0.2">
      <c r="B40" s="52" t="s">
        <v>461</v>
      </c>
      <c r="C40" s="471" t="s">
        <v>300</v>
      </c>
      <c r="D40" s="472"/>
      <c r="E40" s="472"/>
      <c r="F40" s="472"/>
      <c r="G40" s="473"/>
      <c r="J40" s="32" t="s">
        <v>424</v>
      </c>
      <c r="K40" s="106" t="str">
        <f>IFERROR(IF(ISNUMBER(L40),L40,(VLOOKUP(C40,Kalusto!$C$5:$E$42,3,FALSE))*(VLOOKUP(C41,Muut!$D$40:$E$43,2,FALSE))),"--")</f>
        <v>--</v>
      </c>
      <c r="L40" s="39"/>
      <c r="M40" s="40" t="s">
        <v>189</v>
      </c>
      <c r="N40" s="40"/>
      <c r="O40" s="250"/>
      <c r="P40" s="58"/>
      <c r="Q40" s="34"/>
      <c r="R40" s="48" t="str">
        <f>IF(ISNUMBER(K40*V40),K40*V40,"")</f>
        <v/>
      </c>
      <c r="S40" s="98" t="s">
        <v>160</v>
      </c>
      <c r="T40" s="48" t="str">
        <f>IF(ISNUMBER(C42),C42,"")</f>
        <v/>
      </c>
      <c r="U40" s="62" t="str">
        <f>IF(D42="h","",IF(ISNUMBER(C42),C42,""))</f>
        <v/>
      </c>
      <c r="V40" s="48" t="str">
        <f>IF(ISNUMBER(T40),IF(D42="h",C42,IF(ISNUMBER(T40*U40),IF(D42="m3/h",T40/U40,T40*U40),"")),"")</f>
        <v/>
      </c>
      <c r="W40" s="104"/>
      <c r="X40" s="59"/>
      <c r="Y40" s="35"/>
      <c r="Z40" s="35"/>
      <c r="AA40" s="35"/>
      <c r="AB40" s="35"/>
      <c r="AC40" s="35"/>
      <c r="AD40" s="35"/>
      <c r="AE40" s="35"/>
      <c r="AF40" s="35"/>
      <c r="AG40" s="35"/>
      <c r="AH40" s="35"/>
      <c r="AI40" s="35"/>
      <c r="AJ40" s="35"/>
      <c r="AK40" s="35"/>
      <c r="AL40" s="35"/>
      <c r="AM40" s="35"/>
      <c r="AN40" s="36"/>
      <c r="AO40" s="36"/>
      <c r="AP40" s="36"/>
      <c r="AQ40" s="36"/>
      <c r="AR40" s="36"/>
      <c r="AS40" s="36"/>
      <c r="AT40" s="36"/>
      <c r="AU40" s="36"/>
      <c r="AV40" s="36"/>
      <c r="AW40" s="36"/>
      <c r="AX40" s="36"/>
      <c r="AY40" s="36"/>
      <c r="AZ40" s="36"/>
      <c r="BA40" s="36"/>
      <c r="BB40" s="36"/>
      <c r="BC40" s="36"/>
      <c r="BD40" s="36"/>
      <c r="BE40" s="36"/>
    </row>
    <row r="41" spans="2:57" s="30" customFormat="1" ht="15" x14ac:dyDescent="0.2">
      <c r="B41" s="166" t="s">
        <v>460</v>
      </c>
      <c r="C41" s="156" t="s">
        <v>309</v>
      </c>
      <c r="D41" s="33"/>
      <c r="E41" s="33"/>
      <c r="F41" s="33"/>
      <c r="G41" s="33"/>
      <c r="J41" s="32"/>
      <c r="K41" s="32"/>
      <c r="L41" s="32"/>
      <c r="M41" s="32"/>
      <c r="N41" s="32"/>
      <c r="O41" s="265"/>
      <c r="P41" s="58"/>
      <c r="Q41" s="34"/>
      <c r="R41" s="59"/>
      <c r="S41" s="98"/>
      <c r="T41" s="59"/>
      <c r="U41" s="60"/>
      <c r="V41" s="59"/>
      <c r="W41" s="104"/>
      <c r="X41" s="59"/>
      <c r="Y41" s="35"/>
      <c r="Z41" s="35"/>
      <c r="AA41" s="35"/>
      <c r="AB41" s="35"/>
      <c r="AC41" s="35"/>
      <c r="AD41" s="35"/>
      <c r="AE41" s="35"/>
      <c r="AF41" s="35"/>
      <c r="AG41" s="35"/>
      <c r="AH41" s="35"/>
      <c r="AI41" s="35"/>
      <c r="AJ41" s="35"/>
      <c r="AK41" s="35"/>
      <c r="AL41" s="35"/>
      <c r="AM41" s="35"/>
      <c r="AN41" s="36"/>
      <c r="AO41" s="36"/>
      <c r="AP41" s="36"/>
      <c r="AQ41" s="36"/>
      <c r="AR41" s="36"/>
      <c r="AS41" s="36"/>
      <c r="AT41" s="36"/>
      <c r="AU41" s="36"/>
      <c r="AV41" s="36"/>
      <c r="AW41" s="36"/>
      <c r="AX41" s="36"/>
      <c r="AY41" s="36"/>
      <c r="AZ41" s="36"/>
      <c r="BA41" s="36"/>
      <c r="BB41" s="36"/>
      <c r="BC41" s="36"/>
      <c r="BD41" s="36"/>
      <c r="BE41" s="36"/>
    </row>
    <row r="42" spans="2:57" s="30" customFormat="1" ht="15" x14ac:dyDescent="0.2">
      <c r="B42" s="44" t="s">
        <v>357</v>
      </c>
      <c r="C42" s="155"/>
      <c r="D42" s="81" t="s">
        <v>51</v>
      </c>
      <c r="E42" s="33"/>
      <c r="F42" s="33"/>
      <c r="G42" s="33"/>
      <c r="J42" s="32"/>
      <c r="M42" s="81"/>
      <c r="N42" s="81"/>
      <c r="O42" s="96"/>
      <c r="P42" s="41"/>
      <c r="Q42" s="50"/>
      <c r="R42" s="107"/>
      <c r="S42" s="35"/>
      <c r="T42" s="35"/>
      <c r="U42" s="35"/>
      <c r="V42" s="35"/>
      <c r="W42" s="35"/>
      <c r="X42" s="35"/>
      <c r="Y42" s="35"/>
      <c r="Z42" s="35"/>
      <c r="AA42" s="35"/>
      <c r="AB42" s="35"/>
      <c r="AC42" s="35"/>
      <c r="AD42" s="35"/>
      <c r="AE42" s="35"/>
      <c r="AF42" s="35"/>
      <c r="AG42" s="35"/>
      <c r="AH42" s="35"/>
      <c r="AI42" s="35"/>
      <c r="AJ42" s="35"/>
      <c r="AK42" s="35"/>
      <c r="AL42" s="35"/>
      <c r="AM42" s="35"/>
      <c r="AN42" s="36"/>
      <c r="AO42" s="36"/>
      <c r="AP42" s="36"/>
      <c r="AQ42" s="36"/>
      <c r="AR42" s="36"/>
      <c r="AS42" s="36"/>
      <c r="AT42" s="36"/>
      <c r="AU42" s="36"/>
      <c r="AV42" s="36"/>
      <c r="AW42" s="36"/>
      <c r="AX42" s="36"/>
      <c r="AY42" s="36"/>
      <c r="AZ42" s="36"/>
      <c r="BA42" s="36"/>
      <c r="BB42" s="36"/>
      <c r="BC42" s="36"/>
      <c r="BD42" s="36"/>
      <c r="BE42" s="36"/>
    </row>
    <row r="43" spans="2:57" s="30" customFormat="1" ht="15" x14ac:dyDescent="0.2">
      <c r="B43" s="151" t="s">
        <v>355</v>
      </c>
      <c r="K43" s="37" t="s">
        <v>297</v>
      </c>
      <c r="L43" s="37" t="s">
        <v>185</v>
      </c>
      <c r="O43" s="253"/>
      <c r="Q43" s="129"/>
      <c r="R43" s="59" t="s">
        <v>318</v>
      </c>
      <c r="S43" s="104"/>
      <c r="T43" s="35" t="s">
        <v>246</v>
      </c>
      <c r="U43" s="35" t="s">
        <v>319</v>
      </c>
      <c r="V43" s="35" t="s">
        <v>320</v>
      </c>
      <c r="W43" s="35"/>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row>
    <row r="44" spans="2:57" s="30" customFormat="1" ht="15.6" customHeight="1" x14ac:dyDescent="0.2">
      <c r="B44" s="44" t="s">
        <v>461</v>
      </c>
      <c r="C44" s="471" t="s">
        <v>300</v>
      </c>
      <c r="D44" s="472"/>
      <c r="E44" s="472"/>
      <c r="F44" s="472"/>
      <c r="G44" s="473"/>
      <c r="J44" s="32" t="s">
        <v>424</v>
      </c>
      <c r="K44" s="106" t="str">
        <f>IFERROR(IF(ISNUMBER(L44),L44,(VLOOKUP(C44,Kalusto!$C$5:$E$42,3,FALSE))*(VLOOKUP(C45,Muut!$D$40:$E$43,2,FALSE))),"--")</f>
        <v>--</v>
      </c>
      <c r="L44" s="39"/>
      <c r="M44" s="40" t="s">
        <v>189</v>
      </c>
      <c r="N44" s="40"/>
      <c r="O44" s="259"/>
      <c r="P44" s="58"/>
      <c r="Q44" s="34"/>
      <c r="R44" s="48" t="str">
        <f>IF(ISNUMBER(K44*V44),K44*V44,"")</f>
        <v/>
      </c>
      <c r="S44" s="98" t="s">
        <v>160</v>
      </c>
      <c r="T44" s="48" t="str">
        <f>IF(ISNUMBER(C46),C46,"")</f>
        <v/>
      </c>
      <c r="U44" s="62" t="str">
        <f>IF(D46="h","",IF(ISNUMBER(C46),C46,""))</f>
        <v/>
      </c>
      <c r="V44" s="48" t="str">
        <f>IF(ISNUMBER(T44),IF(D46="h",C46,IF(ISNUMBER(T44*U44),IF(D46="m3/h",T44/U44,T44*U44),"")),"")</f>
        <v/>
      </c>
      <c r="W44" s="104"/>
      <c r="X44" s="59"/>
      <c r="Y44" s="35"/>
      <c r="Z44" s="35"/>
      <c r="AA44" s="35"/>
      <c r="AB44" s="35"/>
      <c r="AC44" s="35"/>
      <c r="AD44" s="35"/>
      <c r="AE44" s="35"/>
      <c r="AF44" s="35"/>
      <c r="AG44" s="35"/>
      <c r="AH44" s="35"/>
      <c r="AI44" s="35"/>
      <c r="AJ44" s="35"/>
      <c r="AK44" s="35"/>
      <c r="AL44" s="35"/>
      <c r="AM44" s="35"/>
      <c r="AN44" s="36"/>
      <c r="AO44" s="36"/>
      <c r="AP44" s="36"/>
      <c r="AQ44" s="36"/>
      <c r="AR44" s="36"/>
      <c r="AS44" s="36"/>
      <c r="AT44" s="36"/>
      <c r="AU44" s="36"/>
      <c r="AV44" s="36"/>
      <c r="AW44" s="36"/>
      <c r="AX44" s="36"/>
      <c r="AY44" s="36"/>
      <c r="AZ44" s="36"/>
      <c r="BA44" s="36"/>
      <c r="BB44" s="36"/>
      <c r="BC44" s="36"/>
      <c r="BD44" s="36"/>
      <c r="BE44" s="36"/>
    </row>
    <row r="45" spans="2:57" s="30" customFormat="1" ht="15.6" customHeight="1" x14ac:dyDescent="0.2">
      <c r="B45" s="166" t="s">
        <v>460</v>
      </c>
      <c r="C45" s="156" t="s">
        <v>309</v>
      </c>
      <c r="D45" s="33"/>
      <c r="E45" s="33"/>
      <c r="F45" s="33"/>
      <c r="G45" s="33"/>
      <c r="J45" s="32"/>
      <c r="K45" s="32"/>
      <c r="L45" s="32"/>
      <c r="M45" s="32"/>
      <c r="N45" s="32"/>
      <c r="O45" s="265"/>
      <c r="P45" s="58"/>
      <c r="Q45" s="34"/>
      <c r="R45" s="59"/>
      <c r="S45" s="98"/>
      <c r="T45" s="59"/>
      <c r="U45" s="60"/>
      <c r="V45" s="59"/>
      <c r="W45" s="104"/>
      <c r="X45" s="59"/>
      <c r="Y45" s="35"/>
      <c r="Z45" s="35"/>
      <c r="AA45" s="35"/>
      <c r="AB45" s="35"/>
      <c r="AC45" s="35"/>
      <c r="AD45" s="35"/>
      <c r="AE45" s="35"/>
      <c r="AF45" s="35"/>
      <c r="AG45" s="35"/>
      <c r="AH45" s="35"/>
      <c r="AI45" s="35"/>
      <c r="AJ45" s="35"/>
      <c r="AK45" s="35"/>
      <c r="AL45" s="35"/>
      <c r="AM45" s="35"/>
      <c r="AN45" s="36"/>
      <c r="AO45" s="36"/>
      <c r="AP45" s="36"/>
      <c r="AQ45" s="36"/>
      <c r="AR45" s="36"/>
      <c r="AS45" s="36"/>
      <c r="AT45" s="36"/>
      <c r="AU45" s="36"/>
      <c r="AV45" s="36"/>
      <c r="AW45" s="36"/>
      <c r="AX45" s="36"/>
      <c r="AY45" s="36"/>
      <c r="AZ45" s="36"/>
      <c r="BA45" s="36"/>
      <c r="BB45" s="36"/>
      <c r="BC45" s="36"/>
      <c r="BD45" s="36"/>
      <c r="BE45" s="36"/>
    </row>
    <row r="46" spans="2:57" s="30" customFormat="1" ht="15" x14ac:dyDescent="0.2">
      <c r="B46" s="44" t="s">
        <v>357</v>
      </c>
      <c r="C46" s="155"/>
      <c r="D46" s="81" t="s">
        <v>51</v>
      </c>
      <c r="E46" s="33"/>
      <c r="F46" s="33"/>
      <c r="G46" s="33"/>
      <c r="J46" s="32"/>
      <c r="K46" s="37"/>
      <c r="L46" s="37"/>
      <c r="M46" s="81"/>
      <c r="N46" s="81"/>
      <c r="O46" s="96"/>
      <c r="P46" s="41"/>
      <c r="Q46" s="50"/>
      <c r="R46" s="107"/>
      <c r="S46" s="35"/>
      <c r="T46" s="35"/>
      <c r="U46" s="35"/>
      <c r="V46" s="35"/>
      <c r="W46" s="35"/>
      <c r="X46" s="35"/>
      <c r="Y46" s="35"/>
      <c r="Z46" s="35"/>
      <c r="AA46" s="35"/>
      <c r="AB46" s="35"/>
      <c r="AC46" s="35"/>
      <c r="AD46" s="35"/>
      <c r="AE46" s="35"/>
      <c r="AF46" s="35"/>
      <c r="AG46" s="35"/>
      <c r="AH46" s="35"/>
      <c r="AI46" s="35"/>
      <c r="AJ46" s="35"/>
      <c r="AK46" s="35"/>
      <c r="AL46" s="35"/>
      <c r="AM46" s="35"/>
      <c r="AN46" s="36"/>
      <c r="AO46" s="36"/>
      <c r="AP46" s="36"/>
      <c r="AQ46" s="36"/>
      <c r="AR46" s="36"/>
      <c r="AS46" s="36"/>
      <c r="AT46" s="36"/>
      <c r="AU46" s="36"/>
      <c r="AV46" s="36"/>
      <c r="AW46" s="36"/>
      <c r="AX46" s="36"/>
      <c r="AY46" s="36"/>
      <c r="AZ46" s="36"/>
      <c r="BA46" s="36"/>
      <c r="BB46" s="36"/>
      <c r="BC46" s="36"/>
      <c r="BD46" s="36"/>
      <c r="BE46" s="36"/>
    </row>
    <row r="47" spans="2:57" s="30" customFormat="1" ht="15" x14ac:dyDescent="0.2">
      <c r="B47" s="151" t="s">
        <v>356</v>
      </c>
      <c r="K47" s="37" t="s">
        <v>297</v>
      </c>
      <c r="L47" s="37" t="s">
        <v>185</v>
      </c>
      <c r="O47" s="253"/>
      <c r="Q47" s="129"/>
      <c r="R47" s="59" t="s">
        <v>318</v>
      </c>
      <c r="S47" s="104"/>
      <c r="T47" s="35" t="s">
        <v>246</v>
      </c>
      <c r="U47" s="35" t="s">
        <v>319</v>
      </c>
      <c r="V47" s="35" t="s">
        <v>320</v>
      </c>
      <c r="W47" s="35"/>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row>
    <row r="48" spans="2:57" s="30" customFormat="1" ht="15" x14ac:dyDescent="0.2">
      <c r="B48" s="44" t="s">
        <v>461</v>
      </c>
      <c r="C48" s="471" t="s">
        <v>300</v>
      </c>
      <c r="D48" s="472"/>
      <c r="E48" s="472"/>
      <c r="F48" s="472"/>
      <c r="G48" s="473"/>
      <c r="J48" s="32" t="s">
        <v>424</v>
      </c>
      <c r="K48" s="106" t="str">
        <f>IFERROR(IF(ISNUMBER(L48),L48,(VLOOKUP(C48,Kalusto!$C$5:$E$42,3,FALSE))*(VLOOKUP(C49,Muut!$D$40:$E$43,2,FALSE))),"--")</f>
        <v>--</v>
      </c>
      <c r="L48" s="39"/>
      <c r="M48" s="40" t="s">
        <v>189</v>
      </c>
      <c r="N48" s="40"/>
      <c r="O48" s="259"/>
      <c r="P48" s="58"/>
      <c r="Q48" s="34"/>
      <c r="R48" s="48" t="str">
        <f>IF(ISNUMBER(K48*V48),K48*V48,"")</f>
        <v/>
      </c>
      <c r="S48" s="98" t="s">
        <v>160</v>
      </c>
      <c r="T48" s="48" t="str">
        <f>IF(ISNUMBER(C50),C50,"")</f>
        <v/>
      </c>
      <c r="U48" s="62" t="str">
        <f>IF(D50="h","",IF(ISNUMBER(C50),C50,""))</f>
        <v/>
      </c>
      <c r="V48" s="48" t="str">
        <f>IF(ISNUMBER(T48),IF(D50="h",C50,IF(ISNUMBER(T48*U48),IF(D50="m3/h",T48/U48,T48*U48),"")),"")</f>
        <v/>
      </c>
      <c r="W48" s="104"/>
      <c r="X48" s="59"/>
      <c r="Y48" s="35"/>
      <c r="Z48" s="35"/>
      <c r="AA48" s="35"/>
      <c r="AB48" s="35"/>
      <c r="AC48" s="35"/>
      <c r="AD48" s="35"/>
      <c r="AE48" s="35"/>
      <c r="AF48" s="35"/>
      <c r="AG48" s="35"/>
      <c r="AH48" s="35"/>
      <c r="AI48" s="35"/>
      <c r="AJ48" s="35"/>
      <c r="AK48" s="35"/>
      <c r="AL48" s="35"/>
      <c r="AM48" s="35"/>
      <c r="AN48" s="36"/>
      <c r="AO48" s="36"/>
      <c r="AP48" s="36"/>
      <c r="AQ48" s="36"/>
      <c r="AR48" s="36"/>
      <c r="AS48" s="36"/>
      <c r="AT48" s="36"/>
      <c r="AU48" s="36"/>
      <c r="AV48" s="36"/>
      <c r="AW48" s="36"/>
      <c r="AX48" s="36"/>
      <c r="AY48" s="36"/>
      <c r="AZ48" s="36"/>
      <c r="BA48" s="36"/>
      <c r="BB48" s="36"/>
      <c r="BC48" s="36"/>
      <c r="BD48" s="36"/>
      <c r="BE48" s="36"/>
    </row>
    <row r="49" spans="2:59" s="30" customFormat="1" ht="15" x14ac:dyDescent="0.2">
      <c r="B49" s="166" t="s">
        <v>460</v>
      </c>
      <c r="C49" s="156" t="s">
        <v>309</v>
      </c>
      <c r="D49" s="33"/>
      <c r="E49" s="33"/>
      <c r="F49" s="33"/>
      <c r="G49" s="33"/>
      <c r="J49" s="32"/>
      <c r="K49" s="32"/>
      <c r="L49" s="32"/>
      <c r="M49" s="32"/>
      <c r="N49" s="32"/>
      <c r="O49" s="265"/>
      <c r="P49" s="58"/>
      <c r="Q49" s="34"/>
      <c r="R49" s="59"/>
      <c r="S49" s="98"/>
      <c r="T49" s="59"/>
      <c r="U49" s="60"/>
      <c r="V49" s="59"/>
      <c r="W49" s="104"/>
      <c r="X49" s="59"/>
      <c r="Y49" s="35"/>
      <c r="Z49" s="35"/>
      <c r="AA49" s="35"/>
      <c r="AB49" s="35"/>
      <c r="AC49" s="35"/>
      <c r="AD49" s="35"/>
      <c r="AE49" s="35"/>
      <c r="AF49" s="35"/>
      <c r="AG49" s="35"/>
      <c r="AH49" s="35"/>
      <c r="AI49" s="35"/>
      <c r="AJ49" s="35"/>
      <c r="AK49" s="35"/>
      <c r="AL49" s="35"/>
      <c r="AM49" s="35"/>
      <c r="AN49" s="36"/>
      <c r="AO49" s="36"/>
      <c r="AP49" s="36"/>
      <c r="AQ49" s="36"/>
      <c r="AR49" s="36"/>
      <c r="AS49" s="36"/>
      <c r="AT49" s="36"/>
      <c r="AU49" s="36"/>
      <c r="AV49" s="36"/>
      <c r="AW49" s="36"/>
      <c r="AX49" s="36"/>
      <c r="AY49" s="36"/>
      <c r="AZ49" s="36"/>
      <c r="BA49" s="36"/>
      <c r="BB49" s="36"/>
      <c r="BC49" s="36"/>
      <c r="BD49" s="36"/>
      <c r="BE49" s="36"/>
    </row>
    <row r="50" spans="2:59" s="30" customFormat="1" ht="15" x14ac:dyDescent="0.2">
      <c r="B50" s="44" t="s">
        <v>357</v>
      </c>
      <c r="C50" s="155"/>
      <c r="D50" s="81" t="s">
        <v>51</v>
      </c>
      <c r="E50" s="33"/>
      <c r="F50" s="33"/>
      <c r="G50" s="33"/>
      <c r="J50" s="32"/>
      <c r="K50" s="33"/>
      <c r="L50" s="33"/>
      <c r="M50" s="81"/>
      <c r="N50" s="81"/>
      <c r="O50" s="96"/>
      <c r="P50" s="41"/>
      <c r="Q50" s="50"/>
      <c r="R50" s="107"/>
      <c r="S50" s="35"/>
      <c r="T50" s="35"/>
      <c r="U50" s="35"/>
      <c r="V50" s="35"/>
      <c r="W50" s="35"/>
      <c r="X50" s="35"/>
      <c r="Y50" s="35"/>
      <c r="Z50" s="35"/>
      <c r="AA50" s="35"/>
      <c r="AB50" s="35"/>
      <c r="AC50" s="35"/>
      <c r="AD50" s="35"/>
      <c r="AE50" s="35"/>
      <c r="AF50" s="35"/>
      <c r="AG50" s="35"/>
      <c r="AH50" s="35"/>
      <c r="AI50" s="35"/>
      <c r="AJ50" s="35"/>
      <c r="AK50" s="35"/>
      <c r="AL50" s="35"/>
      <c r="AM50" s="35"/>
      <c r="AN50" s="36"/>
      <c r="AO50" s="36"/>
      <c r="AP50" s="36"/>
      <c r="AQ50" s="36"/>
      <c r="AR50" s="36"/>
      <c r="AS50" s="36"/>
      <c r="AT50" s="36"/>
      <c r="AU50" s="36"/>
      <c r="AV50" s="36"/>
      <c r="AW50" s="36"/>
      <c r="AX50" s="36"/>
      <c r="AY50" s="36"/>
      <c r="AZ50" s="36"/>
      <c r="BA50" s="36"/>
      <c r="BB50" s="36"/>
      <c r="BC50" s="36"/>
      <c r="BD50" s="36"/>
      <c r="BE50" s="36"/>
    </row>
    <row r="51" spans="2:59" s="30" customFormat="1" ht="15" x14ac:dyDescent="0.2">
      <c r="C51" s="78"/>
      <c r="D51" s="81"/>
      <c r="G51" s="33"/>
      <c r="H51" s="81"/>
      <c r="J51" s="32"/>
      <c r="K51" s="33"/>
      <c r="L51" s="33"/>
      <c r="M51" s="81"/>
      <c r="N51" s="81"/>
      <c r="O51" s="81"/>
      <c r="Q51" s="34"/>
      <c r="R51" s="107"/>
      <c r="S51" s="35"/>
      <c r="T51" s="35"/>
      <c r="U51" s="35"/>
      <c r="V51" s="35"/>
      <c r="W51" s="35"/>
      <c r="X51" s="35"/>
      <c r="Y51" s="35"/>
      <c r="Z51" s="35"/>
      <c r="AA51" s="35"/>
      <c r="AB51" s="35"/>
      <c r="AC51" s="35"/>
      <c r="AD51" s="35"/>
      <c r="AE51" s="35"/>
      <c r="AF51" s="35"/>
      <c r="AG51" s="35"/>
      <c r="AH51" s="35"/>
      <c r="AI51" s="35"/>
      <c r="AJ51" s="35"/>
      <c r="AK51" s="35"/>
      <c r="AL51" s="35"/>
      <c r="AM51" s="35"/>
      <c r="AN51" s="36"/>
      <c r="AO51" s="36"/>
      <c r="AP51" s="36"/>
      <c r="AQ51" s="36"/>
      <c r="AR51" s="36"/>
      <c r="AS51" s="36"/>
      <c r="AT51" s="36"/>
      <c r="AU51" s="36"/>
      <c r="AV51" s="36"/>
      <c r="AW51" s="36"/>
      <c r="AX51" s="36"/>
      <c r="AY51" s="36"/>
      <c r="AZ51" s="36"/>
      <c r="BA51" s="36"/>
      <c r="BB51" s="36"/>
      <c r="BC51" s="36"/>
      <c r="BD51" s="36"/>
      <c r="BE51" s="36"/>
    </row>
    <row r="52" spans="2:59" s="289" customFormat="1" ht="18" x14ac:dyDescent="0.2">
      <c r="B52" s="286" t="s">
        <v>539</v>
      </c>
      <c r="C52" s="287"/>
      <c r="D52" s="288"/>
      <c r="G52" s="287"/>
      <c r="H52" s="288"/>
      <c r="K52" s="287"/>
      <c r="L52" s="287"/>
      <c r="M52" s="288"/>
      <c r="N52" s="288"/>
      <c r="O52" s="291"/>
      <c r="P52" s="311"/>
      <c r="Q52" s="295"/>
      <c r="S52" s="294"/>
      <c r="T52" s="294"/>
      <c r="U52" s="294"/>
      <c r="V52" s="294"/>
      <c r="W52" s="294"/>
      <c r="X52" s="294"/>
      <c r="Y52" s="294"/>
      <c r="Z52" s="294"/>
      <c r="AA52" s="294"/>
      <c r="AB52" s="294"/>
      <c r="AC52" s="294"/>
      <c r="AD52" s="294"/>
      <c r="AE52" s="294"/>
      <c r="AF52" s="294"/>
      <c r="AG52" s="294"/>
      <c r="AH52" s="294"/>
      <c r="AI52" s="294"/>
      <c r="AJ52" s="294"/>
      <c r="AK52" s="294"/>
      <c r="AL52" s="294"/>
      <c r="AM52" s="294"/>
      <c r="AN52" s="295"/>
      <c r="AO52" s="295"/>
      <c r="AP52" s="295"/>
      <c r="AQ52" s="295"/>
      <c r="AR52" s="295"/>
      <c r="AS52" s="295"/>
      <c r="AT52" s="295"/>
      <c r="AU52" s="295"/>
      <c r="AV52" s="295"/>
      <c r="AW52" s="295"/>
      <c r="AX52" s="295"/>
      <c r="AY52" s="295"/>
      <c r="AZ52" s="295"/>
      <c r="BA52" s="295"/>
      <c r="BB52" s="295"/>
      <c r="BC52" s="295"/>
      <c r="BD52" s="295"/>
      <c r="BE52" s="295"/>
    </row>
    <row r="53" spans="2:59" s="30" customFormat="1" ht="15" x14ac:dyDescent="0.2">
      <c r="B53" s="30" t="s">
        <v>736</v>
      </c>
      <c r="C53" s="33"/>
      <c r="D53" s="81"/>
      <c r="E53" s="33"/>
      <c r="F53" s="33"/>
      <c r="G53" s="37"/>
      <c r="H53" s="81"/>
      <c r="J53" s="32"/>
      <c r="K53" s="37"/>
      <c r="L53" s="37"/>
      <c r="M53" s="83"/>
      <c r="N53" s="83"/>
      <c r="O53" s="249"/>
      <c r="P53" s="37"/>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4"/>
      <c r="AQ53" s="54"/>
      <c r="AR53" s="54"/>
      <c r="AS53" s="54"/>
      <c r="AT53" s="54"/>
      <c r="AU53" s="54"/>
      <c r="AV53" s="54"/>
      <c r="AW53" s="54"/>
      <c r="AX53" s="54"/>
      <c r="AY53" s="54"/>
      <c r="AZ53" s="54"/>
      <c r="BA53" s="54"/>
      <c r="BB53" s="54"/>
      <c r="BC53" s="54"/>
      <c r="BD53" s="54"/>
      <c r="BE53" s="54"/>
      <c r="BF53" s="54"/>
      <c r="BG53" s="54"/>
    </row>
    <row r="54" spans="2:59" s="30" customFormat="1" ht="15.75" x14ac:dyDescent="0.2">
      <c r="B54" s="8"/>
      <c r="C54" s="33"/>
      <c r="D54" s="81"/>
      <c r="E54" s="33"/>
      <c r="F54" s="33"/>
      <c r="G54" s="37"/>
      <c r="H54" s="81"/>
      <c r="J54" s="32"/>
      <c r="K54" s="37"/>
      <c r="L54" s="37"/>
      <c r="M54" s="83"/>
      <c r="N54" s="83"/>
      <c r="O54" s="83"/>
      <c r="P54" s="37"/>
      <c r="Q54" s="34"/>
      <c r="R54" s="95"/>
      <c r="S54" s="35"/>
      <c r="T54" s="35"/>
      <c r="U54" s="35"/>
      <c r="V54" s="35"/>
      <c r="W54" s="35"/>
      <c r="X54" s="35"/>
      <c r="Y54" s="35"/>
      <c r="Z54" s="35"/>
      <c r="AA54" s="35"/>
      <c r="AB54" s="35"/>
      <c r="AC54" s="35"/>
      <c r="AD54" s="35"/>
      <c r="AE54" s="35"/>
      <c r="AF54" s="35"/>
      <c r="AG54" s="35"/>
      <c r="AH54" s="35"/>
      <c r="AI54" s="35"/>
      <c r="AJ54" s="35"/>
      <c r="AK54" s="35"/>
      <c r="AL54" s="35"/>
      <c r="AM54" s="35"/>
      <c r="AN54" s="36"/>
      <c r="AO54" s="36"/>
      <c r="AP54" s="36"/>
      <c r="AQ54" s="36"/>
      <c r="AR54" s="36"/>
      <c r="AS54" s="36"/>
      <c r="AT54" s="36"/>
      <c r="AU54" s="36"/>
      <c r="AV54" s="36"/>
      <c r="AW54" s="36"/>
      <c r="AX54" s="36"/>
      <c r="AY54" s="36"/>
      <c r="AZ54" s="36"/>
      <c r="BA54" s="36"/>
      <c r="BB54" s="36"/>
      <c r="BC54" s="36"/>
      <c r="BD54" s="36"/>
      <c r="BE54" s="36"/>
    </row>
    <row r="55" spans="2:59" s="30" customFormat="1" ht="15" x14ac:dyDescent="0.2">
      <c r="B55" s="151" t="s">
        <v>411</v>
      </c>
      <c r="C55" s="33" t="s">
        <v>50</v>
      </c>
      <c r="D55" s="81"/>
      <c r="E55" s="33"/>
      <c r="F55" s="33"/>
      <c r="G55" s="37" t="s">
        <v>183</v>
      </c>
      <c r="H55" s="81"/>
      <c r="J55" s="32"/>
      <c r="K55" s="37" t="s">
        <v>297</v>
      </c>
      <c r="L55" s="37" t="s">
        <v>185</v>
      </c>
      <c r="M55" s="83"/>
      <c r="N55" s="83"/>
      <c r="O55" s="249" t="s">
        <v>584</v>
      </c>
      <c r="P55" s="37"/>
      <c r="Q55" s="34"/>
      <c r="R55" s="59" t="s">
        <v>318</v>
      </c>
      <c r="S55" s="35"/>
      <c r="T55" s="35" t="s">
        <v>400</v>
      </c>
      <c r="U55" s="35" t="s">
        <v>399</v>
      </c>
      <c r="V55" s="35" t="s">
        <v>397</v>
      </c>
      <c r="W55" s="35" t="s">
        <v>398</v>
      </c>
      <c r="X55" s="35" t="s">
        <v>401</v>
      </c>
      <c r="Y55" s="35" t="s">
        <v>403</v>
      </c>
      <c r="Z55" s="35" t="s">
        <v>402</v>
      </c>
      <c r="AA55" s="35" t="s">
        <v>186</v>
      </c>
      <c r="AB55" s="35" t="s">
        <v>345</v>
      </c>
      <c r="AC55" s="35" t="s">
        <v>404</v>
      </c>
      <c r="AD55" s="35" t="s">
        <v>346</v>
      </c>
      <c r="AE55" s="35" t="s">
        <v>405</v>
      </c>
      <c r="AF55" s="35" t="s">
        <v>406</v>
      </c>
      <c r="AG55" s="35" t="s">
        <v>578</v>
      </c>
      <c r="AH55" s="35" t="s">
        <v>190</v>
      </c>
      <c r="AI55" s="35" t="s">
        <v>249</v>
      </c>
      <c r="AJ55" s="35" t="s">
        <v>191</v>
      </c>
      <c r="AK55" s="104"/>
      <c r="AL55" s="35"/>
      <c r="AM55" s="35"/>
      <c r="AN55" s="36"/>
      <c r="AO55" s="36"/>
      <c r="AP55" s="36"/>
      <c r="AQ55" s="36"/>
      <c r="AR55" s="36"/>
      <c r="AS55" s="36"/>
      <c r="AT55" s="36"/>
      <c r="AU55" s="36"/>
      <c r="AV55" s="36"/>
      <c r="AW55" s="36"/>
      <c r="AX55" s="36"/>
      <c r="AY55" s="36"/>
      <c r="AZ55" s="36"/>
      <c r="BA55" s="36"/>
      <c r="BB55" s="36"/>
      <c r="BC55" s="36"/>
      <c r="BD55" s="36"/>
      <c r="BE55" s="36"/>
    </row>
    <row r="56" spans="2:59" s="30" customFormat="1" ht="30" x14ac:dyDescent="0.2">
      <c r="B56" s="166" t="s">
        <v>464</v>
      </c>
      <c r="C56" s="152"/>
      <c r="D56" s="86" t="s">
        <v>163</v>
      </c>
      <c r="E56" s="172"/>
      <c r="F56" s="55"/>
      <c r="G56" s="157"/>
      <c r="H56" s="81" t="str">
        <f>IF(D56="t","t/t","t/m3")</f>
        <v>t/m3</v>
      </c>
      <c r="I56" s="166"/>
      <c r="J56" s="169" t="s">
        <v>395</v>
      </c>
      <c r="K56" s="92" t="str">
        <f>IFERROR(IF(ISNUMBER(L56),L56,(VLOOKUP(C57,Kalusto!$C$45:$G$84,5,FALSE)*VLOOKUP(C58,Muut!$D$40:$E$43,2,FALSE))),"--")</f>
        <v>--</v>
      </c>
      <c r="L56" s="39"/>
      <c r="M56" s="40" t="s">
        <v>184</v>
      </c>
      <c r="N56" s="40"/>
      <c r="O56" s="250"/>
      <c r="Q56" s="45"/>
      <c r="R56" s="48" t="str">
        <f>IF(AND(NOT(ISNUMBER(AB56)),NOT(ISNUMBER(AG56))),"",IF(ISNUMBER(AB56),AB56,0)+IF(ISNUMBER(AG56),AG56,0))</f>
        <v/>
      </c>
      <c r="S56" s="98" t="s">
        <v>160</v>
      </c>
      <c r="T56" s="46" t="str">
        <f>IFERROR(IF(ISNUMBER(L56),"Kohdetieto",VLOOKUP(C57,Kalusto!$C$45:$L$84,7,FALSE)),"--")</f>
        <v>--</v>
      </c>
      <c r="U56" s="46" t="str">
        <f>IFERROR(IF(ISNUMBER(L56),"Kohdetieto",VLOOKUP(C57,Kalusto!$C$45:$L$84,8,FALSE)),"--")</f>
        <v>--</v>
      </c>
      <c r="V56" s="47" t="str">
        <f>IFERROR(IF(ISNUMBER(L56),"Kohdetieto",VLOOKUP(C57,Kalusto!$C$45:$L$84,9,FALSE)),"--")</f>
        <v>--</v>
      </c>
      <c r="W56" s="47" t="str">
        <f>IFERROR(IF(ISNUMBER(L56),"Kohdetieto",VLOOKUP(C57,Kalusto!$C$45:$L$84,10,FALSE)),"--")</f>
        <v>--</v>
      </c>
      <c r="X56" s="48" t="str">
        <f>IF(ISBLANK(C56),"",IF(D56="t",C56,C56*G56))</f>
        <v/>
      </c>
      <c r="Y56" s="46" t="str">
        <f>IF(ISNUMBER(C59),C59,"")</f>
        <v/>
      </c>
      <c r="Z56" s="48" t="str">
        <f>IF(ISNUMBER(X56/(U56*V56)*Y56),X56/(U56*V56)*Y56,"")</f>
        <v/>
      </c>
      <c r="AA56" s="49" t="str">
        <f>IF(ISNUMBER(L56),L56,K56)</f>
        <v>--</v>
      </c>
      <c r="AB56" s="48" t="str">
        <f>IF(ISNUMBER(Y56*X56*K56),Y56*X56*K56,"")</f>
        <v/>
      </c>
      <c r="AC56" s="48" t="str">
        <f>IF(C81="Kyllä",Y56,"")</f>
        <v/>
      </c>
      <c r="AD56" s="48" t="str">
        <f>IF(C81="Kyllä",IF(ISNUMBER(X56/(U56*V56)),X56/(U56*V56),""),"")</f>
        <v/>
      </c>
      <c r="AE56" s="48" t="str">
        <f>IF(ISNUMBER(AD56*AC56),AD56*AC56,"")</f>
        <v/>
      </c>
      <c r="AF56" s="49" t="str">
        <f>IF(ISNUMBER(L57),L57,K57)</f>
        <v>--</v>
      </c>
      <c r="AG56" s="48" t="str">
        <f>IF(ISNUMBER(AC56*AD56*K57),AC56*AD56*K57,"")</f>
        <v/>
      </c>
      <c r="AH56" s="46">
        <f>IF(T56="Jakelukuorma-auto",0,IF(T56="Maansiirtoauto",4,IF(T56="Puoliperävaunu",6,8)))</f>
        <v>8</v>
      </c>
      <c r="AI56" s="46">
        <f>IF(AND(T56="Jakelukuorma-auto",U56=6),0,IF(AND(T56="Jakelukuorma-auto",U56=15),2,0))</f>
        <v>0</v>
      </c>
      <c r="AJ56" s="46">
        <f>IF(W56="maantieajo",0,1)</f>
        <v>1</v>
      </c>
      <c r="AK56" s="104"/>
      <c r="AL56" s="35"/>
      <c r="AM56" s="35"/>
      <c r="AN56" s="36"/>
      <c r="AO56" s="36"/>
      <c r="AP56" s="36"/>
      <c r="AQ56" s="36"/>
      <c r="AR56" s="36"/>
      <c r="AS56" s="36"/>
      <c r="AT56" s="36"/>
      <c r="AU56" s="36"/>
      <c r="AV56" s="36"/>
      <c r="AW56" s="36"/>
      <c r="AX56" s="36"/>
      <c r="AY56" s="36"/>
      <c r="AZ56" s="36"/>
      <c r="BA56" s="36"/>
      <c r="BB56" s="36"/>
      <c r="BC56" s="36"/>
      <c r="BD56" s="36"/>
      <c r="BE56" s="36"/>
    </row>
    <row r="57" spans="2:59" s="30" customFormat="1" ht="45" x14ac:dyDescent="0.2">
      <c r="B57" s="166" t="s">
        <v>463</v>
      </c>
      <c r="C57" s="471" t="s">
        <v>298</v>
      </c>
      <c r="D57" s="472"/>
      <c r="E57" s="472"/>
      <c r="F57" s="472"/>
      <c r="G57" s="473"/>
      <c r="H57" s="52"/>
      <c r="J57" s="32" t="s">
        <v>396</v>
      </c>
      <c r="K57" s="92" t="str">
        <f>IFERROR(IF(ISNUMBER(L57),L57,IF($C$81="Ei","",(VLOOKUP(C57,Kalusto!$C$45:$V$84,19,FALSE)*(VLOOKUP(C58,Muut!$D$40:$E$43,2,FALSE))))),"--")</f>
        <v>--</v>
      </c>
      <c r="L57" s="39"/>
      <c r="M57" s="40" t="s">
        <v>188</v>
      </c>
      <c r="N57" s="40"/>
      <c r="O57" s="259"/>
      <c r="P57" s="33"/>
      <c r="Q57" s="50"/>
      <c r="R57" s="35"/>
      <c r="S57" s="35"/>
      <c r="T57" s="35"/>
      <c r="U57" s="35"/>
      <c r="V57" s="35"/>
      <c r="W57" s="35"/>
      <c r="X57" s="35"/>
      <c r="Y57" s="35"/>
      <c r="Z57" s="35"/>
      <c r="AA57" s="35"/>
      <c r="AB57" s="35"/>
      <c r="AC57" s="35"/>
      <c r="AD57" s="35"/>
      <c r="AE57" s="35"/>
      <c r="AF57" s="35"/>
      <c r="AG57" s="35"/>
      <c r="AH57" s="35"/>
      <c r="AI57" s="35"/>
      <c r="AJ57" s="35"/>
      <c r="AK57" s="104"/>
      <c r="AL57" s="35"/>
      <c r="AM57" s="35"/>
      <c r="AN57" s="36"/>
      <c r="AO57" s="36"/>
      <c r="AP57" s="36"/>
      <c r="AQ57" s="36"/>
      <c r="AR57" s="36"/>
      <c r="AS57" s="36"/>
      <c r="AT57" s="36"/>
      <c r="AU57" s="36"/>
      <c r="AV57" s="36"/>
      <c r="AW57" s="36"/>
      <c r="AX57" s="36"/>
      <c r="AY57" s="36"/>
      <c r="AZ57" s="36"/>
      <c r="BA57" s="36"/>
      <c r="BB57" s="36"/>
      <c r="BC57" s="36"/>
      <c r="BD57" s="36"/>
      <c r="BE57" s="36"/>
    </row>
    <row r="58" spans="2:59" s="30" customFormat="1" ht="15" x14ac:dyDescent="0.2">
      <c r="B58" s="182" t="s">
        <v>457</v>
      </c>
      <c r="C58" s="156" t="s">
        <v>309</v>
      </c>
      <c r="D58" s="33"/>
      <c r="E58" s="33"/>
      <c r="F58" s="33"/>
      <c r="G58" s="33"/>
      <c r="H58" s="57"/>
      <c r="J58" s="169"/>
      <c r="K58" s="169"/>
      <c r="L58" s="169"/>
      <c r="M58" s="40"/>
      <c r="N58" s="40"/>
      <c r="O58" s="259"/>
      <c r="Q58" s="45"/>
      <c r="R58" s="98"/>
      <c r="S58" s="98"/>
      <c r="T58" s="35"/>
      <c r="U58" s="35"/>
      <c r="V58" s="177"/>
      <c r="W58" s="177"/>
      <c r="X58" s="59"/>
      <c r="Y58" s="35"/>
      <c r="Z58" s="59"/>
      <c r="AA58" s="178"/>
      <c r="AB58" s="59"/>
      <c r="AC58" s="59"/>
      <c r="AD58" s="59"/>
      <c r="AE58" s="59"/>
      <c r="AF58" s="178"/>
      <c r="AG58" s="59"/>
      <c r="AH58" s="35"/>
      <c r="AI58" s="35"/>
      <c r="AJ58" s="35"/>
      <c r="AK58" s="104"/>
      <c r="AL58" s="35"/>
      <c r="AM58" s="35"/>
      <c r="AN58" s="36"/>
      <c r="AO58" s="36"/>
      <c r="AP58" s="36"/>
      <c r="AQ58" s="36"/>
      <c r="AR58" s="36"/>
      <c r="AS58" s="36"/>
      <c r="AT58" s="36"/>
      <c r="AU58" s="36"/>
      <c r="AV58" s="36"/>
      <c r="AW58" s="36"/>
      <c r="AX58" s="36"/>
      <c r="AY58" s="36"/>
      <c r="AZ58" s="36"/>
      <c r="BA58" s="36"/>
      <c r="BB58" s="36"/>
      <c r="BC58" s="36"/>
      <c r="BD58" s="36"/>
      <c r="BE58" s="36"/>
    </row>
    <row r="59" spans="2:59" s="30" customFormat="1" ht="15" x14ac:dyDescent="0.2">
      <c r="B59" s="44" t="s">
        <v>465</v>
      </c>
      <c r="C59" s="152"/>
      <c r="D59" s="81" t="s">
        <v>5</v>
      </c>
      <c r="G59" s="33"/>
      <c r="H59" s="52"/>
      <c r="J59" s="51"/>
      <c r="K59" s="33"/>
      <c r="L59" s="33"/>
      <c r="M59" s="81"/>
      <c r="N59" s="81"/>
      <c r="O59" s="96"/>
      <c r="P59" s="51"/>
      <c r="Q59" s="50"/>
      <c r="R59" s="35"/>
      <c r="S59" s="35"/>
      <c r="T59" s="35"/>
      <c r="U59" s="35"/>
      <c r="V59" s="35"/>
      <c r="W59" s="35"/>
      <c r="X59" s="35"/>
      <c r="Y59" s="35"/>
      <c r="Z59" s="35"/>
      <c r="AA59" s="35"/>
      <c r="AB59" s="35"/>
      <c r="AC59" s="35"/>
      <c r="AD59" s="35"/>
      <c r="AE59" s="35"/>
      <c r="AF59" s="35"/>
      <c r="AG59" s="35"/>
      <c r="AH59" s="35"/>
      <c r="AI59" s="35"/>
      <c r="AJ59" s="35"/>
      <c r="AK59" s="104"/>
      <c r="AL59" s="35"/>
      <c r="AM59" s="35"/>
      <c r="AN59" s="36"/>
      <c r="AO59" s="36"/>
      <c r="AP59" s="36"/>
      <c r="AQ59" s="36"/>
      <c r="AR59" s="36"/>
      <c r="AS59" s="36"/>
      <c r="AT59" s="36"/>
      <c r="AU59" s="36"/>
      <c r="AV59" s="36"/>
      <c r="AW59" s="36"/>
      <c r="AX59" s="36"/>
      <c r="AY59" s="36"/>
      <c r="AZ59" s="36"/>
      <c r="BA59" s="36"/>
      <c r="BB59" s="36"/>
      <c r="BC59" s="36"/>
      <c r="BD59" s="36"/>
      <c r="BE59" s="36"/>
    </row>
    <row r="60" spans="2:59" s="30" customFormat="1" ht="15" x14ac:dyDescent="0.2">
      <c r="B60" s="151" t="s">
        <v>412</v>
      </c>
      <c r="C60" s="33"/>
      <c r="D60" s="81"/>
      <c r="G60" s="33"/>
      <c r="H60" s="81"/>
      <c r="J60" s="32"/>
      <c r="K60" s="37" t="s">
        <v>297</v>
      </c>
      <c r="L60" s="37" t="s">
        <v>185</v>
      </c>
      <c r="M60" s="81"/>
      <c r="N60" s="81"/>
      <c r="O60" s="96"/>
      <c r="P60" s="33"/>
      <c r="Q60" s="34"/>
      <c r="R60" s="59" t="s">
        <v>318</v>
      </c>
      <c r="S60" s="35"/>
      <c r="T60" s="35" t="s">
        <v>400</v>
      </c>
      <c r="U60" s="35" t="s">
        <v>399</v>
      </c>
      <c r="V60" s="35" t="s">
        <v>397</v>
      </c>
      <c r="W60" s="35" t="s">
        <v>398</v>
      </c>
      <c r="X60" s="35" t="s">
        <v>401</v>
      </c>
      <c r="Y60" s="35" t="s">
        <v>403</v>
      </c>
      <c r="Z60" s="35" t="s">
        <v>402</v>
      </c>
      <c r="AA60" s="35" t="s">
        <v>186</v>
      </c>
      <c r="AB60" s="35" t="s">
        <v>345</v>
      </c>
      <c r="AC60" s="35" t="s">
        <v>404</v>
      </c>
      <c r="AD60" s="35" t="s">
        <v>346</v>
      </c>
      <c r="AE60" s="35" t="s">
        <v>405</v>
      </c>
      <c r="AF60" s="35" t="s">
        <v>406</v>
      </c>
      <c r="AG60" s="35" t="s">
        <v>578</v>
      </c>
      <c r="AH60" s="35" t="s">
        <v>190</v>
      </c>
      <c r="AI60" s="35" t="s">
        <v>249</v>
      </c>
      <c r="AJ60" s="35" t="s">
        <v>191</v>
      </c>
      <c r="AK60" s="104"/>
      <c r="AL60" s="35"/>
      <c r="AM60" s="35"/>
      <c r="AN60" s="36"/>
      <c r="AO60" s="36"/>
      <c r="AP60" s="36"/>
      <c r="AQ60" s="36"/>
      <c r="AR60" s="36"/>
      <c r="AS60" s="36"/>
      <c r="AT60" s="36"/>
      <c r="AU60" s="36"/>
      <c r="AV60" s="36"/>
      <c r="AW60" s="36"/>
      <c r="AX60" s="36"/>
      <c r="AY60" s="36"/>
      <c r="AZ60" s="36"/>
      <c r="BA60" s="36"/>
      <c r="BB60" s="36"/>
      <c r="BC60" s="36"/>
      <c r="BD60" s="36"/>
      <c r="BE60" s="36"/>
    </row>
    <row r="61" spans="2:59" s="30" customFormat="1" ht="30" x14ac:dyDescent="0.2">
      <c r="B61" s="166" t="s">
        <v>464</v>
      </c>
      <c r="C61" s="385"/>
      <c r="D61" s="86" t="s">
        <v>163</v>
      </c>
      <c r="E61" s="172"/>
      <c r="F61" s="55"/>
      <c r="G61" s="157"/>
      <c r="H61" s="81" t="str">
        <f>IF(D61="t","t/t","t/m3")</f>
        <v>t/m3</v>
      </c>
      <c r="J61" s="169" t="s">
        <v>395</v>
      </c>
      <c r="K61" s="92" t="str">
        <f>IFERROR(IF(ISNUMBER(L61),L61,(VLOOKUP(C62,Kalusto!$C$45:$G$84,5,FALSE)*VLOOKUP(C63,Muut!$D$40:$E$43,2,FALSE))),"--")</f>
        <v>--</v>
      </c>
      <c r="L61" s="39"/>
      <c r="M61" s="40" t="s">
        <v>184</v>
      </c>
      <c r="N61" s="40"/>
      <c r="O61" s="259"/>
      <c r="Q61" s="45"/>
      <c r="R61" s="48" t="str">
        <f>IF(AND(NOT(ISNUMBER(AB61)),NOT(ISNUMBER(AG61))),"",IF(ISNUMBER(AB61),AB61,0)+IF(ISNUMBER(AG61),AG61,0))</f>
        <v/>
      </c>
      <c r="S61" s="98" t="s">
        <v>160</v>
      </c>
      <c r="T61" s="46" t="str">
        <f>IFERROR(IF(ISNUMBER(L61),"Kohdetieto",VLOOKUP(C62,Kalusto!$C$45:$L$84,7,FALSE)),"--")</f>
        <v>--</v>
      </c>
      <c r="U61" s="46" t="str">
        <f>IFERROR(IF(ISNUMBER(L61),"Kohdetieto",VLOOKUP(C62,Kalusto!$C$45:$L$84,8,FALSE)),"--")</f>
        <v>--</v>
      </c>
      <c r="V61" s="47" t="str">
        <f>IFERROR(IF(ISNUMBER(L61),"Kohdetieto",VLOOKUP(C62,Kalusto!$C$45:$L$84,9,FALSE)),"--")</f>
        <v>--</v>
      </c>
      <c r="W61" s="47" t="str">
        <f>IFERROR(IF(ISNUMBER(L61),"Kohdetieto",VLOOKUP(C62,Kalusto!$C$45:$L$84,10,FALSE)),"--")</f>
        <v>--</v>
      </c>
      <c r="X61" s="48" t="str">
        <f>IF(ISBLANK(C61),"",IF(D61="t",C61,C61*G61))</f>
        <v/>
      </c>
      <c r="Y61" s="46" t="str">
        <f>IF(ISNUMBER(C64),C64,"")</f>
        <v/>
      </c>
      <c r="Z61" s="48" t="str">
        <f>IF(ISNUMBER(X61/(U61*V61)*Y61),X61/(U61*V61)*Y61,"")</f>
        <v/>
      </c>
      <c r="AA61" s="49" t="str">
        <f>IF(ISNUMBER(L61),L61,K61)</f>
        <v>--</v>
      </c>
      <c r="AB61" s="48" t="str">
        <f>IF(ISNUMBER(Y61*X61*K61),Y61*X61*K61,"")</f>
        <v/>
      </c>
      <c r="AC61" s="48" t="str">
        <f>IF(C81="Kyllä",Y61,"")</f>
        <v/>
      </c>
      <c r="AD61" s="48" t="str">
        <f>IF(C81="Kyllä",IF(ISNUMBER(X61/(U61*V61)),X61/(U61*V61),""),"")</f>
        <v/>
      </c>
      <c r="AE61" s="48" t="str">
        <f>IF(ISNUMBER(AD61*AC61),AD61*AC61,"")</f>
        <v/>
      </c>
      <c r="AF61" s="49" t="str">
        <f>IF(ISNUMBER(L62),L62,K62)</f>
        <v>--</v>
      </c>
      <c r="AG61" s="48" t="str">
        <f>IF(ISNUMBER(AC61*AD61*K62),AC61*AD61*K62,"")</f>
        <v/>
      </c>
      <c r="AH61" s="46">
        <f>IF(T61="Jakelukuorma-auto",0,IF(T61="Maansiirtoauto",4,IF(T61="Puoliperävaunu",6,8)))</f>
        <v>8</v>
      </c>
      <c r="AI61" s="46">
        <f>IF(AND(T61="Jakelukuorma-auto",U61=6),0,IF(AND(T61="Jakelukuorma-auto",U61=15),2,0))</f>
        <v>0</v>
      </c>
      <c r="AJ61" s="46">
        <f>IF(W61="maantieajo",0,1)</f>
        <v>1</v>
      </c>
      <c r="AK61" s="104"/>
      <c r="AL61" s="35"/>
      <c r="AM61" s="35"/>
      <c r="AN61" s="36"/>
      <c r="AO61" s="36"/>
      <c r="AP61" s="36"/>
      <c r="AQ61" s="36"/>
      <c r="AR61" s="36"/>
      <c r="AS61" s="36"/>
      <c r="AT61" s="36"/>
      <c r="AU61" s="36"/>
      <c r="AV61" s="36"/>
      <c r="AW61" s="36"/>
      <c r="AX61" s="36"/>
      <c r="AY61" s="36"/>
      <c r="AZ61" s="36"/>
      <c r="BA61" s="36"/>
      <c r="BB61" s="36"/>
      <c r="BC61" s="36"/>
      <c r="BD61" s="36"/>
      <c r="BE61" s="36"/>
    </row>
    <row r="62" spans="2:59" s="30" customFormat="1" ht="45" x14ac:dyDescent="0.2">
      <c r="B62" s="166" t="s">
        <v>463</v>
      </c>
      <c r="C62" s="471" t="s">
        <v>298</v>
      </c>
      <c r="D62" s="472"/>
      <c r="E62" s="472"/>
      <c r="F62" s="472"/>
      <c r="G62" s="473"/>
      <c r="H62" s="81"/>
      <c r="J62" s="32" t="s">
        <v>396</v>
      </c>
      <c r="K62" s="92" t="str">
        <f>IFERROR(IF(ISNUMBER(L62),L62,IF($C$81="Ei","",(VLOOKUP(C62,Kalusto!$C$45:$V$84,19,FALSE)*(VLOOKUP(C63,Muut!$D$40:$E$43,2,FALSE))))),"--")</f>
        <v>--</v>
      </c>
      <c r="L62" s="39"/>
      <c r="M62" s="40" t="s">
        <v>188</v>
      </c>
      <c r="N62" s="40"/>
      <c r="O62" s="259"/>
      <c r="P62" s="33"/>
      <c r="Q62" s="50"/>
      <c r="R62" s="35"/>
      <c r="S62" s="35"/>
      <c r="T62" s="35"/>
      <c r="U62" s="35"/>
      <c r="V62" s="35"/>
      <c r="W62" s="35"/>
      <c r="X62" s="35"/>
      <c r="Y62" s="35"/>
      <c r="Z62" s="35"/>
      <c r="AA62" s="35"/>
      <c r="AB62" s="35"/>
      <c r="AC62" s="35"/>
      <c r="AD62" s="35"/>
      <c r="AE62" s="35"/>
      <c r="AF62" s="35"/>
      <c r="AG62" s="35"/>
      <c r="AH62" s="35"/>
      <c r="AI62" s="35"/>
      <c r="AJ62" s="35"/>
      <c r="AK62" s="104"/>
      <c r="AL62" s="35"/>
      <c r="AM62" s="35"/>
      <c r="AN62" s="36"/>
      <c r="AO62" s="36"/>
      <c r="AP62" s="36"/>
      <c r="AQ62" s="36"/>
      <c r="AR62" s="36"/>
      <c r="AS62" s="36"/>
      <c r="AT62" s="36"/>
      <c r="AU62" s="36"/>
      <c r="AV62" s="36"/>
      <c r="AW62" s="36"/>
      <c r="AX62" s="36"/>
      <c r="AY62" s="36"/>
      <c r="AZ62" s="36"/>
      <c r="BA62" s="36"/>
      <c r="BB62" s="36"/>
      <c r="BC62" s="36"/>
      <c r="BD62" s="36"/>
      <c r="BE62" s="36"/>
    </row>
    <row r="63" spans="2:59" s="30" customFormat="1" ht="15" x14ac:dyDescent="0.2">
      <c r="B63" s="182" t="s">
        <v>457</v>
      </c>
      <c r="C63" s="156" t="s">
        <v>309</v>
      </c>
      <c r="D63" s="33"/>
      <c r="E63" s="33"/>
      <c r="F63" s="33"/>
      <c r="G63" s="33"/>
      <c r="H63" s="57"/>
      <c r="J63" s="169"/>
      <c r="K63" s="169"/>
      <c r="L63" s="169"/>
      <c r="M63" s="40"/>
      <c r="N63" s="40"/>
      <c r="O63" s="259"/>
      <c r="Q63" s="45"/>
      <c r="R63" s="98"/>
      <c r="S63" s="98"/>
      <c r="T63" s="35"/>
      <c r="U63" s="35"/>
      <c r="V63" s="177"/>
      <c r="W63" s="177"/>
      <c r="X63" s="59"/>
      <c r="Y63" s="35"/>
      <c r="Z63" s="59"/>
      <c r="AA63" s="178"/>
      <c r="AB63" s="59"/>
      <c r="AC63" s="59"/>
      <c r="AD63" s="59"/>
      <c r="AE63" s="59"/>
      <c r="AF63" s="178"/>
      <c r="AG63" s="59"/>
      <c r="AH63" s="35"/>
      <c r="AI63" s="35"/>
      <c r="AJ63" s="35"/>
      <c r="AK63" s="104"/>
      <c r="AL63" s="35"/>
      <c r="AM63" s="35"/>
      <c r="AN63" s="36"/>
      <c r="AO63" s="36"/>
      <c r="AP63" s="36"/>
      <c r="AQ63" s="36"/>
      <c r="AR63" s="36"/>
      <c r="AS63" s="36"/>
      <c r="AT63" s="36"/>
      <c r="AU63" s="36"/>
      <c r="AV63" s="36"/>
      <c r="AW63" s="36"/>
      <c r="AX63" s="36"/>
      <c r="AY63" s="36"/>
      <c r="AZ63" s="36"/>
      <c r="BA63" s="36"/>
      <c r="BB63" s="36"/>
      <c r="BC63" s="36"/>
      <c r="BD63" s="36"/>
      <c r="BE63" s="36"/>
    </row>
    <row r="64" spans="2:59" s="30" customFormat="1" ht="15" x14ac:dyDescent="0.2">
      <c r="B64" s="44" t="s">
        <v>465</v>
      </c>
      <c r="C64" s="386"/>
      <c r="D64" s="81" t="s">
        <v>5</v>
      </c>
      <c r="G64" s="33"/>
      <c r="H64" s="81"/>
      <c r="J64" s="51"/>
      <c r="K64" s="33"/>
      <c r="L64" s="33"/>
      <c r="M64" s="81"/>
      <c r="N64" s="81"/>
      <c r="O64" s="96"/>
      <c r="P64" s="51"/>
      <c r="Q64" s="50"/>
      <c r="R64" s="35"/>
      <c r="S64" s="35"/>
      <c r="T64" s="35"/>
      <c r="U64" s="35"/>
      <c r="V64" s="35"/>
      <c r="W64" s="35"/>
      <c r="X64" s="35"/>
      <c r="Y64" s="35"/>
      <c r="Z64" s="35"/>
      <c r="AA64" s="35"/>
      <c r="AB64" s="35"/>
      <c r="AC64" s="35"/>
      <c r="AD64" s="35"/>
      <c r="AE64" s="35"/>
      <c r="AF64" s="35"/>
      <c r="AG64" s="35"/>
      <c r="AH64" s="35"/>
      <c r="AI64" s="35"/>
      <c r="AJ64" s="35"/>
      <c r="AK64" s="104"/>
      <c r="AL64" s="35"/>
      <c r="AM64" s="35"/>
      <c r="AN64" s="36"/>
      <c r="AO64" s="36"/>
      <c r="AP64" s="36"/>
      <c r="AQ64" s="36"/>
      <c r="AR64" s="36"/>
      <c r="AS64" s="36"/>
      <c r="AT64" s="36"/>
      <c r="AU64" s="36"/>
      <c r="AV64" s="36"/>
      <c r="AW64" s="36"/>
      <c r="AX64" s="36"/>
      <c r="AY64" s="36"/>
      <c r="AZ64" s="36"/>
      <c r="BA64" s="36"/>
      <c r="BB64" s="36"/>
      <c r="BC64" s="36"/>
      <c r="BD64" s="36"/>
      <c r="BE64" s="36"/>
    </row>
    <row r="65" spans="2:57" s="30" customFormat="1" ht="15" x14ac:dyDescent="0.2">
      <c r="B65" s="151" t="s">
        <v>413</v>
      </c>
      <c r="C65" s="33"/>
      <c r="D65" s="81"/>
      <c r="G65" s="33"/>
      <c r="H65" s="81"/>
      <c r="J65" s="32"/>
      <c r="K65" s="37" t="s">
        <v>297</v>
      </c>
      <c r="L65" s="37" t="s">
        <v>185</v>
      </c>
      <c r="M65" s="81"/>
      <c r="N65" s="81"/>
      <c r="O65" s="96"/>
      <c r="P65" s="33"/>
      <c r="Q65" s="34"/>
      <c r="R65" s="59" t="s">
        <v>318</v>
      </c>
      <c r="S65" s="35"/>
      <c r="T65" s="35" t="s">
        <v>400</v>
      </c>
      <c r="U65" s="35" t="s">
        <v>399</v>
      </c>
      <c r="V65" s="35" t="s">
        <v>397</v>
      </c>
      <c r="W65" s="35" t="s">
        <v>398</v>
      </c>
      <c r="X65" s="35" t="s">
        <v>401</v>
      </c>
      <c r="Y65" s="35" t="s">
        <v>403</v>
      </c>
      <c r="Z65" s="35" t="s">
        <v>402</v>
      </c>
      <c r="AA65" s="35" t="s">
        <v>186</v>
      </c>
      <c r="AB65" s="35" t="s">
        <v>345</v>
      </c>
      <c r="AC65" s="35" t="s">
        <v>404</v>
      </c>
      <c r="AD65" s="35" t="s">
        <v>346</v>
      </c>
      <c r="AE65" s="35" t="s">
        <v>405</v>
      </c>
      <c r="AF65" s="35" t="s">
        <v>406</v>
      </c>
      <c r="AG65" s="35" t="s">
        <v>578</v>
      </c>
      <c r="AH65" s="35" t="s">
        <v>190</v>
      </c>
      <c r="AI65" s="35" t="s">
        <v>249</v>
      </c>
      <c r="AJ65" s="35" t="s">
        <v>191</v>
      </c>
      <c r="AK65" s="104"/>
      <c r="AL65" s="35"/>
      <c r="AM65" s="35"/>
      <c r="AN65" s="36"/>
      <c r="AO65" s="36"/>
      <c r="AP65" s="36"/>
      <c r="AQ65" s="36"/>
      <c r="AR65" s="36"/>
      <c r="AS65" s="36"/>
      <c r="AT65" s="36"/>
      <c r="AU65" s="36"/>
      <c r="AV65" s="36"/>
      <c r="AW65" s="36"/>
      <c r="AX65" s="36"/>
      <c r="AY65" s="36"/>
      <c r="AZ65" s="36"/>
      <c r="BA65" s="36"/>
      <c r="BB65" s="36"/>
      <c r="BC65" s="36"/>
      <c r="BD65" s="36"/>
      <c r="BE65" s="36"/>
    </row>
    <row r="66" spans="2:57" s="30" customFormat="1" ht="30" x14ac:dyDescent="0.2">
      <c r="B66" s="166" t="s">
        <v>464</v>
      </c>
      <c r="C66" s="385"/>
      <c r="D66" s="86" t="s">
        <v>163</v>
      </c>
      <c r="E66" s="172"/>
      <c r="F66" s="55"/>
      <c r="G66" s="157"/>
      <c r="H66" s="81" t="str">
        <f>IF(D66="t","t/t","t/m3")</f>
        <v>t/m3</v>
      </c>
      <c r="J66" s="169" t="s">
        <v>395</v>
      </c>
      <c r="K66" s="92" t="str">
        <f>IFERROR(IF(ISNUMBER(L66),L66,(VLOOKUP(C67,Kalusto!$C$45:$G$84,5,FALSE)*VLOOKUP(C68,Muut!$D$40:$E$43,2,FALSE))),"--")</f>
        <v>--</v>
      </c>
      <c r="L66" s="39"/>
      <c r="M66" s="40" t="s">
        <v>184</v>
      </c>
      <c r="N66" s="40"/>
      <c r="O66" s="259"/>
      <c r="Q66" s="45"/>
      <c r="R66" s="48" t="str">
        <f>IF(AND(NOT(ISNUMBER(AB66)),NOT(ISNUMBER(AG66))),"",IF(ISNUMBER(AB66),AB66,0)+IF(ISNUMBER(AG66),AG66,0))</f>
        <v/>
      </c>
      <c r="S66" s="98" t="s">
        <v>160</v>
      </c>
      <c r="T66" s="46" t="str">
        <f>IFERROR(IF(ISNUMBER(L66),"Kohdetieto",VLOOKUP(C67,Kalusto!$C$45:$L$84,7,FALSE)),"--")</f>
        <v>--</v>
      </c>
      <c r="U66" s="46" t="str">
        <f>IFERROR(IF(ISNUMBER(L66),"Kohdetieto",VLOOKUP(C67,Kalusto!$C$45:$L$84,8,FALSE)),"--")</f>
        <v>--</v>
      </c>
      <c r="V66" s="47" t="str">
        <f>IFERROR(IF(ISNUMBER(L66),"Kohdetieto",VLOOKUP(C67,Kalusto!$C$45:$L$84,9,FALSE)),"--")</f>
        <v>--</v>
      </c>
      <c r="W66" s="47" t="str">
        <f>IFERROR(IF(ISNUMBER(L66),"Kohdetieto",VLOOKUP(C67,Kalusto!$C$45:$L$84,10,FALSE)),"--")</f>
        <v>--</v>
      </c>
      <c r="X66" s="48" t="str">
        <f>IF(ISBLANK(C66),"",IF(D66="t",C66,C66*G66))</f>
        <v/>
      </c>
      <c r="Y66" s="46" t="str">
        <f>IF(ISNUMBER(C69),C69,"")</f>
        <v/>
      </c>
      <c r="Z66" s="48" t="str">
        <f>IF(ISNUMBER(X66/(U66*V66)*Y66),X66/(U66*V66)*Y66,"")</f>
        <v/>
      </c>
      <c r="AA66" s="49" t="str">
        <f>IF(ISNUMBER(L66),L66,K66)</f>
        <v>--</v>
      </c>
      <c r="AB66" s="48" t="str">
        <f>IF(ISNUMBER(Y66*X66*K66),Y66*X66*K66,"")</f>
        <v/>
      </c>
      <c r="AC66" s="48" t="str">
        <f>IF(C81="Kyllä",Y66,"")</f>
        <v/>
      </c>
      <c r="AD66" s="48" t="str">
        <f>IF(C81="Kyllä",IF(ISNUMBER(X66/(U66*V66)),X66/(U66*V66),""),"")</f>
        <v/>
      </c>
      <c r="AE66" s="48" t="str">
        <f>IF(ISNUMBER(AD66*AC66),AD66*AC66,"")</f>
        <v/>
      </c>
      <c r="AF66" s="49" t="str">
        <f>IF(ISNUMBER(L67),L67,K67)</f>
        <v>--</v>
      </c>
      <c r="AG66" s="48" t="str">
        <f>IF(ISNUMBER(AC66*AD66*K67),AC66*AD66*K67,"")</f>
        <v/>
      </c>
      <c r="AH66" s="46">
        <f>IF(T66="Jakelukuorma-auto",0,IF(T66="Maansiirtoauto",4,IF(T66="Puoliperävaunu",6,8)))</f>
        <v>8</v>
      </c>
      <c r="AI66" s="46">
        <f>IF(AND(T66="Jakelukuorma-auto",U66=6),0,IF(AND(T66="Jakelukuorma-auto",U66=15),2,0))</f>
        <v>0</v>
      </c>
      <c r="AJ66" s="46">
        <f>IF(W66="maantieajo",0,1)</f>
        <v>1</v>
      </c>
      <c r="AK66" s="104"/>
      <c r="AL66" s="35"/>
      <c r="AM66" s="35"/>
      <c r="AN66" s="36"/>
      <c r="AO66" s="36"/>
      <c r="AP66" s="36"/>
      <c r="AQ66" s="36"/>
      <c r="AR66" s="36"/>
      <c r="AS66" s="36"/>
      <c r="AT66" s="36"/>
      <c r="AU66" s="36"/>
      <c r="AV66" s="36"/>
      <c r="AW66" s="36"/>
      <c r="AX66" s="36"/>
      <c r="AY66" s="36"/>
      <c r="AZ66" s="36"/>
      <c r="BA66" s="36"/>
      <c r="BB66" s="36"/>
      <c r="BC66" s="36"/>
      <c r="BD66" s="36"/>
      <c r="BE66" s="36"/>
    </row>
    <row r="67" spans="2:57" s="30" customFormat="1" ht="45" x14ac:dyDescent="0.2">
      <c r="B67" s="166" t="s">
        <v>463</v>
      </c>
      <c r="C67" s="471" t="s">
        <v>298</v>
      </c>
      <c r="D67" s="472"/>
      <c r="E67" s="472"/>
      <c r="F67" s="472"/>
      <c r="G67" s="473"/>
      <c r="H67" s="81"/>
      <c r="J67" s="32" t="s">
        <v>396</v>
      </c>
      <c r="K67" s="92" t="str">
        <f>IFERROR(IF(ISNUMBER(L67),L67,IF($C$81="Ei","",(VLOOKUP(C67,Kalusto!$C$45:$V$84,19,FALSE)*(VLOOKUP(C68,Muut!$D$40:$E$43,2,FALSE))))),"--")</f>
        <v>--</v>
      </c>
      <c r="L67" s="39"/>
      <c r="M67" s="40" t="s">
        <v>188</v>
      </c>
      <c r="N67" s="40"/>
      <c r="O67" s="259"/>
      <c r="P67" s="33"/>
      <c r="Q67" s="50"/>
      <c r="R67" s="35"/>
      <c r="S67" s="35"/>
      <c r="T67" s="35"/>
      <c r="U67" s="35"/>
      <c r="V67" s="35"/>
      <c r="W67" s="35"/>
      <c r="X67" s="35"/>
      <c r="Y67" s="35"/>
      <c r="Z67" s="35"/>
      <c r="AA67" s="35"/>
      <c r="AB67" s="35"/>
      <c r="AC67" s="35"/>
      <c r="AD67" s="35"/>
      <c r="AE67" s="35"/>
      <c r="AF67" s="35"/>
      <c r="AG67" s="35"/>
      <c r="AH67" s="35"/>
      <c r="AI67" s="35"/>
      <c r="AJ67" s="35"/>
      <c r="AK67" s="104"/>
      <c r="AL67" s="35"/>
      <c r="AM67" s="35"/>
      <c r="AN67" s="36"/>
      <c r="AO67" s="36"/>
      <c r="AP67" s="36"/>
      <c r="AQ67" s="36"/>
      <c r="AR67" s="36"/>
      <c r="AS67" s="36"/>
      <c r="AT67" s="36"/>
      <c r="AU67" s="36"/>
      <c r="AV67" s="36"/>
      <c r="AW67" s="36"/>
      <c r="AX67" s="36"/>
      <c r="AY67" s="36"/>
      <c r="AZ67" s="36"/>
      <c r="BA67" s="36"/>
      <c r="BB67" s="36"/>
      <c r="BC67" s="36"/>
      <c r="BD67" s="36"/>
      <c r="BE67" s="36"/>
    </row>
    <row r="68" spans="2:57" s="30" customFormat="1" ht="15" x14ac:dyDescent="0.2">
      <c r="B68" s="182" t="s">
        <v>457</v>
      </c>
      <c r="C68" s="156" t="s">
        <v>309</v>
      </c>
      <c r="D68" s="33"/>
      <c r="E68" s="33"/>
      <c r="F68" s="33"/>
      <c r="G68" s="33"/>
      <c r="H68" s="57"/>
      <c r="J68" s="169"/>
      <c r="K68" s="169"/>
      <c r="L68" s="169"/>
      <c r="M68" s="40"/>
      <c r="N68" s="40"/>
      <c r="O68" s="259"/>
      <c r="Q68" s="45"/>
      <c r="R68" s="98"/>
      <c r="S68" s="98"/>
      <c r="T68" s="35"/>
      <c r="U68" s="35"/>
      <c r="V68" s="177"/>
      <c r="W68" s="177"/>
      <c r="X68" s="59"/>
      <c r="Y68" s="35"/>
      <c r="Z68" s="59"/>
      <c r="AA68" s="178"/>
      <c r="AB68" s="59"/>
      <c r="AC68" s="59"/>
      <c r="AD68" s="59"/>
      <c r="AE68" s="59"/>
      <c r="AF68" s="178"/>
      <c r="AG68" s="59"/>
      <c r="AH68" s="35"/>
      <c r="AI68" s="35"/>
      <c r="AJ68" s="35"/>
      <c r="AK68" s="104"/>
      <c r="AL68" s="35"/>
      <c r="AM68" s="35"/>
      <c r="AN68" s="36"/>
      <c r="AO68" s="36"/>
      <c r="AP68" s="36"/>
      <c r="AQ68" s="36"/>
      <c r="AR68" s="36"/>
      <c r="AS68" s="36"/>
      <c r="AT68" s="36"/>
      <c r="AU68" s="36"/>
      <c r="AV68" s="36"/>
      <c r="AW68" s="36"/>
      <c r="AX68" s="36"/>
      <c r="AY68" s="36"/>
      <c r="AZ68" s="36"/>
      <c r="BA68" s="36"/>
      <c r="BB68" s="36"/>
      <c r="BC68" s="36"/>
      <c r="BD68" s="36"/>
      <c r="BE68" s="36"/>
    </row>
    <row r="69" spans="2:57" s="30" customFormat="1" ht="15" x14ac:dyDescent="0.2">
      <c r="B69" s="44" t="s">
        <v>465</v>
      </c>
      <c r="C69" s="386"/>
      <c r="D69" s="81" t="s">
        <v>5</v>
      </c>
      <c r="G69" s="33"/>
      <c r="H69" s="81"/>
      <c r="J69" s="51"/>
      <c r="K69" s="33"/>
      <c r="L69" s="33"/>
      <c r="M69" s="81"/>
      <c r="N69" s="81"/>
      <c r="O69" s="96"/>
      <c r="P69" s="51"/>
      <c r="Q69" s="50"/>
      <c r="R69" s="35"/>
      <c r="S69" s="35"/>
      <c r="T69" s="35"/>
      <c r="U69" s="35"/>
      <c r="V69" s="35"/>
      <c r="W69" s="35"/>
      <c r="X69" s="35"/>
      <c r="Y69" s="35"/>
      <c r="Z69" s="35"/>
      <c r="AA69" s="35"/>
      <c r="AB69" s="35"/>
      <c r="AC69" s="35"/>
      <c r="AD69" s="35"/>
      <c r="AE69" s="35"/>
      <c r="AF69" s="35"/>
      <c r="AG69" s="35"/>
      <c r="AH69" s="35"/>
      <c r="AI69" s="35"/>
      <c r="AJ69" s="35"/>
      <c r="AK69" s="104"/>
      <c r="AL69" s="35"/>
      <c r="AM69" s="35"/>
      <c r="AN69" s="36"/>
      <c r="AO69" s="36"/>
      <c r="AP69" s="36"/>
      <c r="AQ69" s="36"/>
      <c r="AR69" s="36"/>
      <c r="AS69" s="36"/>
      <c r="AT69" s="36"/>
      <c r="AU69" s="36"/>
      <c r="AV69" s="36"/>
      <c r="AW69" s="36"/>
      <c r="AX69" s="36"/>
      <c r="AY69" s="36"/>
      <c r="AZ69" s="36"/>
      <c r="BA69" s="36"/>
      <c r="BB69" s="36"/>
      <c r="BC69" s="36"/>
      <c r="BD69" s="36"/>
      <c r="BE69" s="36"/>
    </row>
    <row r="70" spans="2:57" s="30" customFormat="1" ht="15" x14ac:dyDescent="0.2">
      <c r="B70" s="151" t="s">
        <v>414</v>
      </c>
      <c r="C70" s="33"/>
      <c r="D70" s="81"/>
      <c r="G70" s="33"/>
      <c r="H70" s="81"/>
      <c r="J70" s="32"/>
      <c r="K70" s="37" t="s">
        <v>297</v>
      </c>
      <c r="L70" s="37" t="s">
        <v>185</v>
      </c>
      <c r="M70" s="81"/>
      <c r="N70" s="81"/>
      <c r="O70" s="96"/>
      <c r="P70" s="33"/>
      <c r="Q70" s="34"/>
      <c r="R70" s="59" t="s">
        <v>318</v>
      </c>
      <c r="S70" s="35"/>
      <c r="T70" s="35" t="s">
        <v>400</v>
      </c>
      <c r="U70" s="35" t="s">
        <v>399</v>
      </c>
      <c r="V70" s="35" t="s">
        <v>397</v>
      </c>
      <c r="W70" s="35" t="s">
        <v>398</v>
      </c>
      <c r="X70" s="35" t="s">
        <v>401</v>
      </c>
      <c r="Y70" s="35" t="s">
        <v>403</v>
      </c>
      <c r="Z70" s="35" t="s">
        <v>402</v>
      </c>
      <c r="AA70" s="35" t="s">
        <v>186</v>
      </c>
      <c r="AB70" s="35" t="s">
        <v>345</v>
      </c>
      <c r="AC70" s="35" t="s">
        <v>404</v>
      </c>
      <c r="AD70" s="35" t="s">
        <v>346</v>
      </c>
      <c r="AE70" s="35" t="s">
        <v>405</v>
      </c>
      <c r="AF70" s="35" t="s">
        <v>406</v>
      </c>
      <c r="AG70" s="35" t="s">
        <v>578</v>
      </c>
      <c r="AH70" s="35" t="s">
        <v>190</v>
      </c>
      <c r="AI70" s="35" t="s">
        <v>249</v>
      </c>
      <c r="AJ70" s="35" t="s">
        <v>191</v>
      </c>
      <c r="AK70" s="104"/>
      <c r="AL70" s="35"/>
      <c r="AM70" s="35"/>
      <c r="AN70" s="36"/>
      <c r="AO70" s="36"/>
      <c r="AP70" s="36"/>
      <c r="AQ70" s="36"/>
      <c r="AR70" s="36"/>
      <c r="AS70" s="36"/>
      <c r="AT70" s="36"/>
      <c r="AU70" s="36"/>
      <c r="AV70" s="36"/>
      <c r="AW70" s="36"/>
      <c r="AX70" s="36"/>
      <c r="AY70" s="36"/>
      <c r="AZ70" s="36"/>
      <c r="BA70" s="36"/>
      <c r="BB70" s="36"/>
      <c r="BC70" s="36"/>
      <c r="BD70" s="36"/>
      <c r="BE70" s="36"/>
    </row>
    <row r="71" spans="2:57" s="30" customFormat="1" ht="30" x14ac:dyDescent="0.2">
      <c r="B71" s="166" t="s">
        <v>464</v>
      </c>
      <c r="C71" s="385"/>
      <c r="D71" s="86" t="s">
        <v>163</v>
      </c>
      <c r="E71" s="33"/>
      <c r="F71" s="55"/>
      <c r="G71" s="157"/>
      <c r="H71" s="81" t="str">
        <f>IF(D71="t","t/t","t/m3")</f>
        <v>t/m3</v>
      </c>
      <c r="J71" s="169" t="s">
        <v>395</v>
      </c>
      <c r="K71" s="92" t="str">
        <f>IFERROR(IF(ISNUMBER(L71),L71,(VLOOKUP(C72,Kalusto!$C$45:$G$84,5,FALSE)*VLOOKUP(C73,Muut!$D$40:$E$43,2,FALSE))),"--")</f>
        <v>--</v>
      </c>
      <c r="L71" s="39"/>
      <c r="M71" s="40" t="s">
        <v>184</v>
      </c>
      <c r="N71" s="40"/>
      <c r="O71" s="259"/>
      <c r="Q71" s="45"/>
      <c r="R71" s="48" t="str">
        <f>IF(AND(NOT(ISNUMBER(AB71)),NOT(ISNUMBER(AG71))),"",IF(ISNUMBER(AB71),AB71,0)+IF(ISNUMBER(AG71),AG71,0))</f>
        <v/>
      </c>
      <c r="S71" s="98" t="s">
        <v>160</v>
      </c>
      <c r="T71" s="46" t="str">
        <f>IFERROR(IF(ISNUMBER(L71),"Kohdetieto",VLOOKUP(C72,Kalusto!$C$45:$L$84,7,FALSE)),"--")</f>
        <v>--</v>
      </c>
      <c r="U71" s="46" t="str">
        <f>IFERROR(IF(ISNUMBER(L71),"Kohdetieto",VLOOKUP(C72,Kalusto!$C$45:$L$84,8,FALSE)),"--")</f>
        <v>--</v>
      </c>
      <c r="V71" s="47" t="str">
        <f>IFERROR(IF(ISNUMBER(L71),"Kohdetieto",VLOOKUP(C72,Kalusto!$C$45:$L$84,9,FALSE)),"--")</f>
        <v>--</v>
      </c>
      <c r="W71" s="47" t="str">
        <f>IFERROR(IF(ISNUMBER(L71),"Kohdetieto",VLOOKUP(C72,Kalusto!$C$45:$L$84,10,FALSE)),"--")</f>
        <v>--</v>
      </c>
      <c r="X71" s="48" t="str">
        <f>IF(ISBLANK(C71),"",IF(D71="t",C71,C71*G71))</f>
        <v/>
      </c>
      <c r="Y71" s="46" t="str">
        <f>IF(ISNUMBER(C74),C74,"")</f>
        <v/>
      </c>
      <c r="Z71" s="48" t="str">
        <f>IF(ISNUMBER(X71/(U71*V71)*Y71),X71/(U71*V71)*Y71,"")</f>
        <v/>
      </c>
      <c r="AA71" s="49" t="str">
        <f>IF(ISNUMBER(L71),L71,K71)</f>
        <v>--</v>
      </c>
      <c r="AB71" s="48" t="str">
        <f>IF(ISNUMBER(Y71*X71*K71),Y71*X71*K71,"")</f>
        <v/>
      </c>
      <c r="AC71" s="48" t="str">
        <f>IF(C81="Kyllä",Y71,"")</f>
        <v/>
      </c>
      <c r="AD71" s="48" t="str">
        <f>IF(C81="Kyllä",IF(ISNUMBER(X71/(U71*V71)),X71/(U71*V71),""),"")</f>
        <v/>
      </c>
      <c r="AE71" s="48" t="str">
        <f>IF(ISNUMBER(AD71*AC71),AD71*AC71,"")</f>
        <v/>
      </c>
      <c r="AF71" s="49" t="str">
        <f>IF(ISNUMBER(L72),L72,K72)</f>
        <v>--</v>
      </c>
      <c r="AG71" s="48" t="str">
        <f>IF(ISNUMBER(AC71*AD71*K72),AC71*AD71*K72,"")</f>
        <v/>
      </c>
      <c r="AH71" s="46">
        <f>IF(T71="Jakelukuorma-auto",0,IF(T71="Maansiirtoauto",4,IF(T71="Puoliperävaunu",6,8)))</f>
        <v>8</v>
      </c>
      <c r="AI71" s="46">
        <f>IF(AND(T71="Jakelukuorma-auto",U71=6),0,IF(AND(T71="Jakelukuorma-auto",U71=15),2,0))</f>
        <v>0</v>
      </c>
      <c r="AJ71" s="46">
        <f>IF(W71="maantieajo",0,1)</f>
        <v>1</v>
      </c>
      <c r="AK71" s="104"/>
      <c r="AL71" s="35"/>
      <c r="AM71" s="35"/>
      <c r="AN71" s="36"/>
      <c r="AO71" s="36"/>
      <c r="AP71" s="36"/>
      <c r="AQ71" s="36"/>
      <c r="AR71" s="36"/>
      <c r="AS71" s="36"/>
      <c r="AT71" s="36"/>
      <c r="AU71" s="36"/>
      <c r="AV71" s="36"/>
      <c r="AW71" s="36"/>
      <c r="AX71" s="36"/>
      <c r="AY71" s="36"/>
      <c r="AZ71" s="36"/>
      <c r="BA71" s="36"/>
      <c r="BB71" s="36"/>
      <c r="BC71" s="36"/>
      <c r="BD71" s="36"/>
      <c r="BE71" s="36"/>
    </row>
    <row r="72" spans="2:57" s="30" customFormat="1" ht="45" x14ac:dyDescent="0.2">
      <c r="B72" s="166" t="s">
        <v>463</v>
      </c>
      <c r="C72" s="471" t="s">
        <v>298</v>
      </c>
      <c r="D72" s="472"/>
      <c r="E72" s="472"/>
      <c r="F72" s="472"/>
      <c r="G72" s="473"/>
      <c r="H72" s="81"/>
      <c r="J72" s="32" t="s">
        <v>396</v>
      </c>
      <c r="K72" s="92" t="str">
        <f>IFERROR(IF(ISNUMBER(L72),L72,IF($C$81="Ei","",(VLOOKUP(C72,Kalusto!$C$45:$V$84,19,FALSE)*(VLOOKUP(C73,Muut!$D$40:$E$43,2,FALSE))))),"--")</f>
        <v>--</v>
      </c>
      <c r="L72" s="39"/>
      <c r="M72" s="40" t="s">
        <v>188</v>
      </c>
      <c r="N72" s="40"/>
      <c r="O72" s="259"/>
      <c r="P72" s="33"/>
      <c r="Q72" s="50"/>
      <c r="R72" s="35"/>
      <c r="S72" s="35"/>
      <c r="T72" s="35"/>
      <c r="U72" s="35"/>
      <c r="V72" s="35"/>
      <c r="W72" s="35"/>
      <c r="X72" s="35"/>
      <c r="Y72" s="35"/>
      <c r="Z72" s="35"/>
      <c r="AA72" s="35"/>
      <c r="AB72" s="35"/>
      <c r="AC72" s="35"/>
      <c r="AD72" s="35"/>
      <c r="AE72" s="35"/>
      <c r="AF72" s="35"/>
      <c r="AG72" s="35"/>
      <c r="AH72" s="35"/>
      <c r="AI72" s="35"/>
      <c r="AJ72" s="35"/>
      <c r="AK72" s="104"/>
      <c r="AL72" s="35"/>
      <c r="AM72" s="35"/>
      <c r="AN72" s="36"/>
      <c r="AO72" s="36"/>
      <c r="AP72" s="36"/>
      <c r="AQ72" s="36"/>
      <c r="AR72" s="36"/>
      <c r="AS72" s="36"/>
      <c r="AT72" s="36"/>
      <c r="AU72" s="36"/>
      <c r="AV72" s="36"/>
      <c r="AW72" s="36"/>
      <c r="AX72" s="36"/>
      <c r="AY72" s="36"/>
      <c r="AZ72" s="36"/>
      <c r="BA72" s="36"/>
      <c r="BB72" s="36"/>
      <c r="BC72" s="36"/>
      <c r="BD72" s="36"/>
      <c r="BE72" s="36"/>
    </row>
    <row r="73" spans="2:57" s="30" customFormat="1" ht="15" x14ac:dyDescent="0.2">
      <c r="B73" s="182" t="s">
        <v>457</v>
      </c>
      <c r="C73" s="156" t="s">
        <v>309</v>
      </c>
      <c r="D73" s="33"/>
      <c r="E73" s="33"/>
      <c r="F73" s="33"/>
      <c r="G73" s="33"/>
      <c r="H73" s="57"/>
      <c r="J73" s="169"/>
      <c r="K73" s="169"/>
      <c r="L73" s="169"/>
      <c r="M73" s="40"/>
      <c r="N73" s="40"/>
      <c r="O73" s="259"/>
      <c r="Q73" s="45"/>
      <c r="R73" s="98"/>
      <c r="S73" s="98"/>
      <c r="T73" s="35"/>
      <c r="U73" s="35"/>
      <c r="V73" s="177"/>
      <c r="W73" s="177"/>
      <c r="X73" s="59"/>
      <c r="Y73" s="35"/>
      <c r="Z73" s="59"/>
      <c r="AA73" s="178"/>
      <c r="AB73" s="59"/>
      <c r="AC73" s="59"/>
      <c r="AD73" s="59"/>
      <c r="AE73" s="59"/>
      <c r="AF73" s="178"/>
      <c r="AG73" s="59"/>
      <c r="AH73" s="35"/>
      <c r="AI73" s="35"/>
      <c r="AJ73" s="35"/>
      <c r="AK73" s="104"/>
      <c r="AL73" s="35"/>
      <c r="AM73" s="35"/>
      <c r="AN73" s="36"/>
      <c r="AO73" s="36"/>
      <c r="AP73" s="36"/>
      <c r="AQ73" s="36"/>
      <c r="AR73" s="36"/>
      <c r="AS73" s="36"/>
      <c r="AT73" s="36"/>
      <c r="AU73" s="36"/>
      <c r="AV73" s="36"/>
      <c r="AW73" s="36"/>
      <c r="AX73" s="36"/>
      <c r="AY73" s="36"/>
      <c r="AZ73" s="36"/>
      <c r="BA73" s="36"/>
      <c r="BB73" s="36"/>
      <c r="BC73" s="36"/>
      <c r="BD73" s="36"/>
      <c r="BE73" s="36"/>
    </row>
    <row r="74" spans="2:57" s="30" customFormat="1" ht="15" x14ac:dyDescent="0.2">
      <c r="B74" s="44" t="s">
        <v>465</v>
      </c>
      <c r="C74" s="386"/>
      <c r="D74" s="87" t="s">
        <v>164</v>
      </c>
      <c r="E74" s="56"/>
      <c r="F74" s="56"/>
      <c r="G74" s="33"/>
      <c r="H74" s="81"/>
      <c r="J74" s="51"/>
      <c r="K74" s="33"/>
      <c r="L74" s="33"/>
      <c r="M74" s="81"/>
      <c r="N74" s="81"/>
      <c r="O74" s="96"/>
      <c r="P74" s="51"/>
      <c r="Q74" s="50"/>
      <c r="R74" s="35"/>
      <c r="S74" s="35"/>
      <c r="T74" s="35"/>
      <c r="U74" s="35"/>
      <c r="V74" s="35"/>
      <c r="W74" s="35"/>
      <c r="X74" s="35"/>
      <c r="Y74" s="35"/>
      <c r="Z74" s="35"/>
      <c r="AA74" s="35"/>
      <c r="AB74" s="35"/>
      <c r="AC74" s="35"/>
      <c r="AD74" s="35"/>
      <c r="AE74" s="35"/>
      <c r="AF74" s="35"/>
      <c r="AG74" s="35"/>
      <c r="AH74" s="35"/>
      <c r="AI74" s="35"/>
      <c r="AJ74" s="35"/>
      <c r="AK74" s="104"/>
      <c r="AL74" s="35"/>
      <c r="AM74" s="35"/>
      <c r="AN74" s="36"/>
      <c r="AO74" s="36"/>
      <c r="AP74" s="36"/>
      <c r="AQ74" s="36"/>
      <c r="AR74" s="36"/>
      <c r="AS74" s="36"/>
      <c r="AT74" s="36"/>
      <c r="AU74" s="36"/>
      <c r="AV74" s="36"/>
      <c r="AW74" s="36"/>
      <c r="AX74" s="36"/>
      <c r="AY74" s="36"/>
      <c r="AZ74" s="36"/>
      <c r="BA74" s="36"/>
      <c r="BB74" s="36"/>
      <c r="BC74" s="36"/>
      <c r="BD74" s="36"/>
      <c r="BE74" s="36"/>
    </row>
    <row r="75" spans="2:57" s="30" customFormat="1" ht="15" x14ac:dyDescent="0.2">
      <c r="B75" s="151" t="s">
        <v>302</v>
      </c>
      <c r="C75" s="33"/>
      <c r="D75" s="81"/>
      <c r="G75" s="33"/>
      <c r="H75" s="81"/>
      <c r="J75" s="32"/>
      <c r="K75" s="37" t="s">
        <v>297</v>
      </c>
      <c r="L75" s="37" t="s">
        <v>185</v>
      </c>
      <c r="M75" s="81"/>
      <c r="N75" s="81"/>
      <c r="O75" s="96"/>
      <c r="P75" s="33"/>
      <c r="Q75" s="34"/>
      <c r="R75" s="59" t="s">
        <v>318</v>
      </c>
      <c r="S75" s="35"/>
      <c r="T75" s="35" t="s">
        <v>400</v>
      </c>
      <c r="U75" s="35" t="s">
        <v>399</v>
      </c>
      <c r="V75" s="35" t="s">
        <v>397</v>
      </c>
      <c r="W75" s="35" t="s">
        <v>398</v>
      </c>
      <c r="X75" s="35" t="s">
        <v>401</v>
      </c>
      <c r="Y75" s="35" t="s">
        <v>403</v>
      </c>
      <c r="Z75" s="35" t="s">
        <v>402</v>
      </c>
      <c r="AA75" s="35" t="s">
        <v>186</v>
      </c>
      <c r="AB75" s="35" t="s">
        <v>345</v>
      </c>
      <c r="AC75" s="35" t="s">
        <v>404</v>
      </c>
      <c r="AD75" s="35" t="s">
        <v>346</v>
      </c>
      <c r="AE75" s="35" t="s">
        <v>405</v>
      </c>
      <c r="AF75" s="35" t="s">
        <v>406</v>
      </c>
      <c r="AG75" s="35" t="s">
        <v>578</v>
      </c>
      <c r="AH75" s="35" t="s">
        <v>190</v>
      </c>
      <c r="AI75" s="35" t="s">
        <v>249</v>
      </c>
      <c r="AJ75" s="35" t="s">
        <v>191</v>
      </c>
      <c r="AK75" s="104"/>
      <c r="AL75" s="35"/>
      <c r="AM75" s="35"/>
      <c r="AN75" s="36"/>
      <c r="AO75" s="36"/>
      <c r="AP75" s="36"/>
      <c r="AQ75" s="36"/>
      <c r="AR75" s="36"/>
      <c r="AS75" s="36"/>
      <c r="AT75" s="36"/>
      <c r="AU75" s="36"/>
      <c r="AV75" s="36"/>
      <c r="AW75" s="36"/>
      <c r="AX75" s="36"/>
      <c r="AY75" s="36"/>
      <c r="AZ75" s="36"/>
      <c r="BA75" s="36"/>
      <c r="BB75" s="36"/>
      <c r="BC75" s="36"/>
      <c r="BD75" s="36"/>
      <c r="BE75" s="36"/>
    </row>
    <row r="76" spans="2:57" s="30" customFormat="1" ht="30" x14ac:dyDescent="0.2">
      <c r="B76" s="166" t="s">
        <v>464</v>
      </c>
      <c r="C76" s="385"/>
      <c r="D76" s="86" t="s">
        <v>163</v>
      </c>
      <c r="E76" s="33"/>
      <c r="F76" s="55"/>
      <c r="G76" s="157"/>
      <c r="H76" s="81" t="str">
        <f>IF(D76="t","t/t","t/m3")</f>
        <v>t/m3</v>
      </c>
      <c r="J76" s="169" t="s">
        <v>395</v>
      </c>
      <c r="K76" s="92" t="str">
        <f>IFERROR(IF(ISNUMBER(L76),L76,(VLOOKUP(C77,Kalusto!$C$45:$G$84,5,FALSE)*VLOOKUP(C78,Muut!$D$40:$E$43,2,FALSE))),"--")</f>
        <v>--</v>
      </c>
      <c r="L76" s="39"/>
      <c r="M76" s="40" t="s">
        <v>184</v>
      </c>
      <c r="N76" s="40"/>
      <c r="O76" s="259"/>
      <c r="Q76" s="45"/>
      <c r="R76" s="48" t="str">
        <f>IF(AND(NOT(ISNUMBER(AB76)),NOT(ISNUMBER(AG76))),"",IF(ISNUMBER(AB76),AB76,0)+IF(ISNUMBER(AG76),AG76,0))</f>
        <v/>
      </c>
      <c r="S76" s="98" t="s">
        <v>160</v>
      </c>
      <c r="T76" s="46" t="str">
        <f>IFERROR(IF(ISNUMBER(L76),"Kohdetieto",VLOOKUP(C77,Kalusto!$C$45:$L$84,7,FALSE)),"--")</f>
        <v>--</v>
      </c>
      <c r="U76" s="46" t="str">
        <f>IFERROR(IF(ISNUMBER(L76),"Kohdetieto",VLOOKUP(C77,Kalusto!$C$45:$L$84,8,FALSE)),"--")</f>
        <v>--</v>
      </c>
      <c r="V76" s="47" t="str">
        <f>IFERROR(IF(ISNUMBER(L76),"Kohdetieto",VLOOKUP(C77,Kalusto!$C$45:$L$84,9,FALSE)),"--")</f>
        <v>--</v>
      </c>
      <c r="W76" s="47" t="str">
        <f>IFERROR(IF(ISNUMBER(L76),"Kohdetieto",VLOOKUP(C77,Kalusto!$C$45:$L$84,10,FALSE)),"--")</f>
        <v>--</v>
      </c>
      <c r="X76" s="48" t="str">
        <f>IF(ISBLANK(C76),"",IF(D76="t",C76,C76*G76))</f>
        <v/>
      </c>
      <c r="Y76" s="46" t="str">
        <f>IF(ISNUMBER(C79),C79,"")</f>
        <v/>
      </c>
      <c r="Z76" s="48" t="str">
        <f>IF(ISNUMBER(X76/(U76*V76)*Y76),X76/(U76*V76)*Y76,"")</f>
        <v/>
      </c>
      <c r="AA76" s="49" t="str">
        <f>IF(ISNUMBER(L76),L76,K76)</f>
        <v>--</v>
      </c>
      <c r="AB76" s="48" t="str">
        <f>IF(ISNUMBER(Y76*X76*K76),Y76*X76*K76,"")</f>
        <v/>
      </c>
      <c r="AC76" s="48" t="str">
        <f>IF(C81="Kyllä",Y76,"")</f>
        <v/>
      </c>
      <c r="AD76" s="48" t="str">
        <f>IF(C81="Kyllä",IF(ISNUMBER(X76/(U76*V76)),X76/(U76*V76),""),"")</f>
        <v/>
      </c>
      <c r="AE76" s="48" t="str">
        <f>IF(ISNUMBER(AD76*AC76),AD76*AC76,"")</f>
        <v/>
      </c>
      <c r="AF76" s="49" t="str">
        <f>IF(ISNUMBER(L77),L77,K77)</f>
        <v>--</v>
      </c>
      <c r="AG76" s="48" t="str">
        <f>IF(ISNUMBER(AC76*AD76*K77),AC76*AD76*K77,"")</f>
        <v/>
      </c>
      <c r="AH76" s="46">
        <f>IF(T76="Jakelukuorma-auto",0,IF(T76="Maansiirtoauto",4,IF(T76="Puoliperävaunu",6,8)))</f>
        <v>8</v>
      </c>
      <c r="AI76" s="46">
        <f>IF(AND(T76="Jakelukuorma-auto",U76=6),0,IF(AND(T76="Jakelukuorma-auto",U76=15),2,0))</f>
        <v>0</v>
      </c>
      <c r="AJ76" s="46">
        <f>IF(W76="maantieajo",0,1)</f>
        <v>1</v>
      </c>
      <c r="AK76" s="104"/>
      <c r="AL76" s="35"/>
      <c r="AM76" s="35"/>
      <c r="AN76" s="36"/>
      <c r="AO76" s="36"/>
      <c r="AP76" s="36"/>
      <c r="AQ76" s="36"/>
      <c r="AR76" s="36"/>
      <c r="AS76" s="36"/>
      <c r="AT76" s="36"/>
      <c r="AU76" s="36"/>
      <c r="AV76" s="36"/>
      <c r="AW76" s="36"/>
      <c r="AX76" s="36"/>
      <c r="AY76" s="36"/>
      <c r="AZ76" s="36"/>
      <c r="BA76" s="36"/>
      <c r="BB76" s="36"/>
      <c r="BC76" s="36"/>
      <c r="BD76" s="36"/>
      <c r="BE76" s="36"/>
    </row>
    <row r="77" spans="2:57" s="30" customFormat="1" ht="45" x14ac:dyDescent="0.2">
      <c r="B77" s="166" t="s">
        <v>463</v>
      </c>
      <c r="C77" s="471" t="s">
        <v>298</v>
      </c>
      <c r="D77" s="472"/>
      <c r="E77" s="472"/>
      <c r="F77" s="472"/>
      <c r="G77" s="473"/>
      <c r="H77" s="81"/>
      <c r="J77" s="32" t="s">
        <v>396</v>
      </c>
      <c r="K77" s="92" t="str">
        <f>IFERROR(IF(ISNUMBER(L77),L77,IF($C$81="Ei","",(VLOOKUP(C77,Kalusto!$C$45:$V$84,19,FALSE)*(VLOOKUP(C78,Muut!$D$40:$E$43,2,FALSE))))),"--")</f>
        <v>--</v>
      </c>
      <c r="L77" s="39"/>
      <c r="M77" s="40" t="s">
        <v>188</v>
      </c>
      <c r="N77" s="40"/>
      <c r="O77" s="259"/>
      <c r="P77" s="33"/>
      <c r="Q77" s="50"/>
      <c r="R77" s="95"/>
      <c r="S77" s="35"/>
      <c r="T77" s="35"/>
      <c r="U77" s="35"/>
      <c r="V77" s="35"/>
      <c r="W77" s="35"/>
      <c r="X77" s="35"/>
      <c r="Y77" s="35"/>
      <c r="Z77" s="35"/>
      <c r="AA77" s="35"/>
      <c r="AB77" s="35"/>
      <c r="AC77" s="35"/>
      <c r="AD77" s="35"/>
      <c r="AE77" s="35"/>
      <c r="AF77" s="35"/>
      <c r="AG77" s="35"/>
      <c r="AH77" s="35"/>
      <c r="AI77" s="35"/>
      <c r="AJ77" s="35"/>
      <c r="AK77" s="35"/>
      <c r="AL77" s="35"/>
      <c r="AM77" s="35"/>
      <c r="AN77" s="36"/>
      <c r="AO77" s="36"/>
      <c r="AP77" s="36"/>
      <c r="AQ77" s="36"/>
      <c r="AR77" s="36"/>
      <c r="AS77" s="36"/>
      <c r="AT77" s="36"/>
      <c r="AU77" s="36"/>
      <c r="AV77" s="36"/>
      <c r="AW77" s="36"/>
      <c r="AX77" s="36"/>
      <c r="AY77" s="36"/>
      <c r="AZ77" s="36"/>
      <c r="BA77" s="36"/>
      <c r="BB77" s="36"/>
      <c r="BC77" s="36"/>
      <c r="BD77" s="36"/>
      <c r="BE77" s="36"/>
    </row>
    <row r="78" spans="2:57" s="30" customFormat="1" ht="15" x14ac:dyDescent="0.2">
      <c r="B78" s="182" t="s">
        <v>457</v>
      </c>
      <c r="C78" s="156" t="s">
        <v>309</v>
      </c>
      <c r="D78" s="33"/>
      <c r="E78" s="33"/>
      <c r="F78" s="33"/>
      <c r="G78" s="33"/>
      <c r="H78" s="57"/>
      <c r="J78" s="169"/>
      <c r="K78" s="169"/>
      <c r="L78" s="169"/>
      <c r="M78" s="40"/>
      <c r="N78" s="40"/>
      <c r="O78" s="259"/>
      <c r="Q78" s="45"/>
      <c r="R78" s="98"/>
      <c r="S78" s="98"/>
      <c r="T78" s="35"/>
      <c r="U78" s="35"/>
      <c r="V78" s="177"/>
      <c r="W78" s="177"/>
      <c r="X78" s="59"/>
      <c r="Y78" s="35"/>
      <c r="Z78" s="59"/>
      <c r="AA78" s="178"/>
      <c r="AB78" s="59"/>
      <c r="AC78" s="59"/>
      <c r="AD78" s="59"/>
      <c r="AE78" s="59"/>
      <c r="AF78" s="178"/>
      <c r="AG78" s="59"/>
      <c r="AH78" s="35"/>
      <c r="AI78" s="35"/>
      <c r="AJ78" s="35"/>
      <c r="AK78" s="104"/>
      <c r="AL78" s="35"/>
      <c r="AM78" s="35"/>
      <c r="AN78" s="36"/>
      <c r="AO78" s="36"/>
      <c r="AP78" s="36"/>
      <c r="AQ78" s="36"/>
      <c r="AR78" s="36"/>
      <c r="AS78" s="36"/>
      <c r="AT78" s="36"/>
      <c r="AU78" s="36"/>
      <c r="AV78" s="36"/>
      <c r="AW78" s="36"/>
      <c r="AX78" s="36"/>
      <c r="AY78" s="36"/>
      <c r="AZ78" s="36"/>
      <c r="BA78" s="36"/>
      <c r="BB78" s="36"/>
      <c r="BC78" s="36"/>
      <c r="BD78" s="36"/>
      <c r="BE78" s="36"/>
    </row>
    <row r="79" spans="2:57" s="30" customFormat="1" ht="15" x14ac:dyDescent="0.2">
      <c r="B79" s="44" t="s">
        <v>465</v>
      </c>
      <c r="C79" s="386"/>
      <c r="D79" s="81" t="s">
        <v>5</v>
      </c>
      <c r="G79" s="33"/>
      <c r="H79" s="81"/>
      <c r="J79" s="51"/>
      <c r="K79" s="33"/>
      <c r="L79" s="33"/>
      <c r="M79" s="81"/>
      <c r="N79" s="81"/>
      <c r="O79" s="96"/>
      <c r="P79" s="51"/>
      <c r="Q79" s="50"/>
      <c r="R79" s="95"/>
      <c r="S79" s="35"/>
      <c r="T79" s="35"/>
      <c r="U79" s="35"/>
      <c r="V79" s="35"/>
      <c r="W79" s="35"/>
      <c r="X79" s="35"/>
      <c r="Y79" s="35"/>
      <c r="Z79" s="35"/>
      <c r="AA79" s="35"/>
      <c r="AB79" s="35"/>
      <c r="AC79" s="35"/>
      <c r="AD79" s="35"/>
      <c r="AE79" s="35"/>
      <c r="AF79" s="35"/>
      <c r="AG79" s="35"/>
      <c r="AH79" s="35"/>
      <c r="AI79" s="35"/>
      <c r="AJ79" s="35"/>
      <c r="AK79" s="35"/>
      <c r="AL79" s="35"/>
      <c r="AM79" s="35"/>
      <c r="AN79" s="36"/>
      <c r="AO79" s="36"/>
      <c r="AP79" s="36"/>
      <c r="AQ79" s="36"/>
      <c r="AR79" s="36"/>
      <c r="AS79" s="36"/>
      <c r="AT79" s="36"/>
      <c r="AU79" s="36"/>
      <c r="AV79" s="36"/>
      <c r="AW79" s="36"/>
      <c r="AX79" s="36"/>
      <c r="AY79" s="36"/>
      <c r="AZ79" s="36"/>
      <c r="BA79" s="36"/>
      <c r="BB79" s="36"/>
      <c r="BC79" s="36"/>
      <c r="BD79" s="36"/>
      <c r="BE79" s="36"/>
    </row>
    <row r="80" spans="2:57" s="30" customFormat="1" ht="15" x14ac:dyDescent="0.2">
      <c r="C80" s="33"/>
      <c r="D80" s="81"/>
      <c r="G80" s="33"/>
      <c r="H80" s="81"/>
      <c r="J80" s="32"/>
      <c r="K80" s="33"/>
      <c r="L80" s="33"/>
      <c r="M80" s="81"/>
      <c r="N80" s="81"/>
      <c r="O80" s="96"/>
      <c r="Q80" s="34"/>
      <c r="R80" s="95"/>
      <c r="S80" s="35"/>
      <c r="T80" s="35"/>
      <c r="U80" s="35"/>
      <c r="V80" s="35"/>
      <c r="W80" s="35"/>
      <c r="X80" s="35"/>
      <c r="Y80" s="35"/>
      <c r="Z80" s="35"/>
      <c r="AA80" s="35"/>
      <c r="AB80" s="35"/>
      <c r="AC80" s="35"/>
      <c r="AD80" s="35"/>
      <c r="AE80" s="35"/>
      <c r="AF80" s="35"/>
      <c r="AG80" s="35"/>
      <c r="AH80" s="35"/>
      <c r="AI80" s="35"/>
      <c r="AJ80" s="35"/>
      <c r="AK80" s="35"/>
      <c r="AL80" s="35"/>
      <c r="AM80" s="35"/>
      <c r="AN80" s="36"/>
      <c r="AO80" s="36"/>
      <c r="AP80" s="36"/>
      <c r="AQ80" s="36"/>
      <c r="AR80" s="36"/>
      <c r="AS80" s="36"/>
      <c r="AT80" s="36"/>
      <c r="AU80" s="36"/>
      <c r="AV80" s="36"/>
      <c r="AW80" s="36"/>
      <c r="AX80" s="36"/>
      <c r="AY80" s="36"/>
      <c r="AZ80" s="36"/>
      <c r="BA80" s="36"/>
      <c r="BB80" s="36"/>
      <c r="BC80" s="36"/>
      <c r="BD80" s="36"/>
      <c r="BE80" s="36"/>
    </row>
    <row r="81" spans="2:59" s="30" customFormat="1" ht="60" x14ac:dyDescent="0.2">
      <c r="B81" s="76" t="s">
        <v>606</v>
      </c>
      <c r="C81" s="471" t="s">
        <v>6</v>
      </c>
      <c r="D81" s="473"/>
      <c r="E81" s="33"/>
      <c r="F81" s="56"/>
      <c r="G81" s="33"/>
      <c r="H81" s="81"/>
      <c r="J81" s="32"/>
      <c r="K81" s="33"/>
      <c r="L81" s="33"/>
      <c r="M81" s="81"/>
      <c r="N81" s="81"/>
      <c r="O81" s="96"/>
      <c r="Q81" s="34"/>
      <c r="R81" s="95"/>
      <c r="S81" s="35"/>
      <c r="T81" s="35"/>
      <c r="U81" s="35"/>
      <c r="V81" s="35"/>
      <c r="W81" s="35"/>
      <c r="X81" s="35"/>
      <c r="Y81" s="35"/>
      <c r="Z81" s="35"/>
      <c r="AA81" s="35"/>
      <c r="AB81" s="35"/>
      <c r="AC81" s="35"/>
      <c r="AD81" s="35"/>
      <c r="AE81" s="35"/>
      <c r="AF81" s="35"/>
      <c r="AG81" s="35"/>
      <c r="AH81" s="35"/>
      <c r="AI81" s="35"/>
      <c r="AJ81" s="35"/>
      <c r="AK81" s="35"/>
      <c r="AL81" s="35"/>
      <c r="AM81" s="35"/>
      <c r="AN81" s="36"/>
      <c r="AO81" s="36"/>
      <c r="AP81" s="36"/>
      <c r="AQ81" s="36"/>
      <c r="AR81" s="36"/>
      <c r="AS81" s="36"/>
      <c r="AT81" s="36"/>
      <c r="AU81" s="36"/>
      <c r="AV81" s="36"/>
      <c r="AW81" s="36"/>
      <c r="AX81" s="36"/>
      <c r="AY81" s="36"/>
      <c r="AZ81" s="36"/>
      <c r="BA81" s="36"/>
      <c r="BB81" s="36"/>
      <c r="BC81" s="36"/>
      <c r="BD81" s="36"/>
      <c r="BE81" s="36"/>
    </row>
    <row r="82" spans="2:59" s="30" customFormat="1" ht="15" x14ac:dyDescent="0.2">
      <c r="C82" s="33"/>
      <c r="D82" s="81"/>
      <c r="G82" s="33"/>
      <c r="H82" s="81"/>
      <c r="J82" s="32"/>
      <c r="K82" s="33"/>
      <c r="L82" s="33"/>
      <c r="M82" s="81"/>
      <c r="N82" s="81"/>
      <c r="O82" s="81"/>
      <c r="Q82" s="34"/>
      <c r="R82" s="95"/>
      <c r="S82" s="35"/>
      <c r="T82" s="35"/>
      <c r="U82" s="35"/>
      <c r="V82" s="35"/>
      <c r="W82" s="35"/>
      <c r="X82" s="35"/>
      <c r="Y82" s="35"/>
      <c r="Z82" s="35"/>
      <c r="AA82" s="35"/>
      <c r="AB82" s="35"/>
      <c r="AC82" s="35"/>
      <c r="AD82" s="35"/>
      <c r="AE82" s="35"/>
      <c r="AF82" s="35"/>
      <c r="AG82" s="35"/>
      <c r="AH82" s="35"/>
      <c r="AI82" s="35"/>
      <c r="AJ82" s="35"/>
      <c r="AK82" s="35"/>
      <c r="AL82" s="35"/>
      <c r="AM82" s="35"/>
      <c r="AN82" s="36"/>
      <c r="AO82" s="36"/>
      <c r="AP82" s="36"/>
      <c r="AQ82" s="36"/>
      <c r="AR82" s="36"/>
      <c r="AS82" s="36"/>
      <c r="AT82" s="36"/>
      <c r="AU82" s="36"/>
      <c r="AV82" s="36"/>
      <c r="AW82" s="36"/>
      <c r="AX82" s="36"/>
      <c r="AY82" s="36"/>
      <c r="AZ82" s="36"/>
      <c r="BA82" s="36"/>
      <c r="BB82" s="36"/>
      <c r="BC82" s="36"/>
      <c r="BD82" s="36"/>
      <c r="BE82" s="36"/>
    </row>
    <row r="83" spans="2:59" s="289" customFormat="1" ht="18" x14ac:dyDescent="0.2">
      <c r="B83" s="286" t="s">
        <v>321</v>
      </c>
      <c r="C83" s="287"/>
      <c r="D83" s="288"/>
      <c r="G83" s="287"/>
      <c r="H83" s="288"/>
      <c r="K83" s="287"/>
      <c r="L83" s="287"/>
      <c r="M83" s="288"/>
      <c r="N83" s="288"/>
      <c r="O83" s="291"/>
      <c r="P83" s="311"/>
      <c r="Q83" s="295"/>
      <c r="R83" s="289" t="str">
        <f>IF(OR(ISNUMBER(#REF!),ISNUMBER(#REF!),ISNUMBER(#REF!),ISNUMBER(#REF!),ISNUMBER(#REF!)),SUM(#REF!,#REF!,#REF!,#REF!,#REF!),"")</f>
        <v/>
      </c>
      <c r="S83" s="294"/>
      <c r="T83" s="294"/>
      <c r="U83" s="294"/>
      <c r="V83" s="294"/>
      <c r="W83" s="294"/>
      <c r="X83" s="294"/>
      <c r="Y83" s="294"/>
      <c r="Z83" s="294"/>
      <c r="AA83" s="294"/>
      <c r="AB83" s="294"/>
      <c r="AC83" s="294"/>
      <c r="AD83" s="294"/>
      <c r="AE83" s="294"/>
      <c r="AF83" s="294"/>
      <c r="AG83" s="294"/>
      <c r="AH83" s="294"/>
      <c r="AI83" s="294"/>
      <c r="AJ83" s="294"/>
      <c r="AK83" s="294"/>
      <c r="AL83" s="294"/>
      <c r="AM83" s="294"/>
      <c r="AN83" s="295"/>
      <c r="AO83" s="295"/>
      <c r="AP83" s="295"/>
      <c r="AQ83" s="295"/>
      <c r="AR83" s="295"/>
      <c r="AS83" s="295"/>
      <c r="AT83" s="295"/>
      <c r="AU83" s="295"/>
      <c r="AV83" s="295"/>
      <c r="AW83" s="295"/>
      <c r="AX83" s="295"/>
      <c r="AY83" s="295"/>
      <c r="AZ83" s="295"/>
      <c r="BA83" s="295"/>
      <c r="BB83" s="295"/>
      <c r="BC83" s="295"/>
      <c r="BD83" s="295"/>
      <c r="BE83" s="295"/>
    </row>
    <row r="84" spans="2:59" s="30" customFormat="1" ht="15.75" x14ac:dyDescent="0.2">
      <c r="B84" s="8"/>
      <c r="C84" s="33"/>
      <c r="D84" s="81"/>
      <c r="G84" s="37" t="s">
        <v>183</v>
      </c>
      <c r="H84" s="81"/>
      <c r="J84" s="32"/>
      <c r="K84" s="37" t="s">
        <v>297</v>
      </c>
      <c r="L84" s="37" t="s">
        <v>185</v>
      </c>
      <c r="M84" s="81"/>
      <c r="N84" s="81"/>
      <c r="O84" s="249" t="s">
        <v>584</v>
      </c>
      <c r="P84" s="37"/>
      <c r="Q84" s="34"/>
      <c r="R84" s="35" t="s">
        <v>318</v>
      </c>
      <c r="S84" s="35"/>
      <c r="T84" s="35" t="s">
        <v>343</v>
      </c>
      <c r="U84" s="35" t="s">
        <v>153</v>
      </c>
      <c r="V84" s="35" t="s">
        <v>323</v>
      </c>
      <c r="W84" s="104"/>
      <c r="X84" s="35"/>
      <c r="Y84" s="35"/>
      <c r="Z84" s="35"/>
      <c r="AA84" s="35"/>
      <c r="AB84" s="35"/>
      <c r="AC84" s="35"/>
      <c r="AD84" s="35"/>
      <c r="AE84" s="35"/>
      <c r="AF84" s="35"/>
      <c r="AG84" s="35"/>
      <c r="AH84" s="35"/>
      <c r="AI84" s="35"/>
      <c r="AJ84" s="35"/>
      <c r="AK84" s="35"/>
      <c r="AL84" s="35"/>
      <c r="AM84" s="35"/>
      <c r="AN84" s="36"/>
      <c r="AO84" s="36"/>
      <c r="AP84" s="36"/>
      <c r="AQ84" s="36"/>
      <c r="AR84" s="36"/>
      <c r="AS84" s="36"/>
      <c r="AT84" s="36"/>
      <c r="AU84" s="36"/>
      <c r="AV84" s="36"/>
      <c r="AW84" s="36"/>
      <c r="AX84" s="36"/>
      <c r="AY84" s="36"/>
      <c r="AZ84" s="36"/>
      <c r="BA84" s="36"/>
      <c r="BB84" s="36"/>
      <c r="BC84" s="36"/>
      <c r="BD84" s="36"/>
      <c r="BE84" s="36"/>
    </row>
    <row r="85" spans="2:59" s="30" customFormat="1" ht="15" x14ac:dyDescent="0.2">
      <c r="B85" s="159" t="s">
        <v>416</v>
      </c>
      <c r="C85" s="156"/>
      <c r="D85" s="88" t="s">
        <v>163</v>
      </c>
      <c r="G85" s="64">
        <v>1.8</v>
      </c>
      <c r="H85" s="81" t="s">
        <v>165</v>
      </c>
      <c r="J85" s="32" t="s">
        <v>322</v>
      </c>
      <c r="K85" s="92">
        <f>IF(ISNUMBER(L85),L85,VLOOKUP(B85,Materiaalit!$C$5:$M$16,7,FALSE))</f>
        <v>6.0000000000000001E-3</v>
      </c>
      <c r="L85" s="39"/>
      <c r="M85" s="40" t="s">
        <v>247</v>
      </c>
      <c r="N85" s="40"/>
      <c r="O85" s="250"/>
      <c r="P85" s="40"/>
      <c r="Q85" s="50"/>
      <c r="R85" s="48" t="str">
        <f>IF(ISNUMBER(K85*V85*1000),K85*V85*1000,"")</f>
        <v/>
      </c>
      <c r="S85" s="98" t="s">
        <v>160</v>
      </c>
      <c r="T85" s="48" t="str">
        <f>IF(ISBLANK(C85),"",IF(D85="t",C85,C85*G85))</f>
        <v/>
      </c>
      <c r="U85" s="46">
        <f>VLOOKUP(B85,Materiaalit!$C$5:$M$16,11,FALSE)</f>
        <v>1.05</v>
      </c>
      <c r="V85" s="48" t="str">
        <f>IF(ISNUMBER(U85*T85),U85*T85,"")</f>
        <v/>
      </c>
      <c r="W85" s="104"/>
      <c r="X85" s="35"/>
      <c r="Y85" s="35"/>
      <c r="Z85" s="35"/>
      <c r="AA85" s="35"/>
      <c r="AB85" s="35"/>
      <c r="AC85" s="35"/>
      <c r="AD85" s="35"/>
      <c r="AE85" s="35"/>
      <c r="AF85" s="35"/>
      <c r="AG85" s="35"/>
      <c r="AH85" s="35"/>
      <c r="AI85" s="35"/>
      <c r="AJ85" s="35"/>
      <c r="AK85" s="35"/>
      <c r="AL85" s="35"/>
      <c r="AM85" s="35"/>
      <c r="AN85" s="36"/>
      <c r="AO85" s="36"/>
      <c r="AP85" s="36"/>
      <c r="AQ85" s="36"/>
      <c r="AR85" s="36"/>
      <c r="AS85" s="36"/>
      <c r="AT85" s="36"/>
      <c r="AU85" s="36"/>
      <c r="AV85" s="36"/>
      <c r="AW85" s="36"/>
      <c r="AX85" s="36"/>
      <c r="AY85" s="36"/>
      <c r="AZ85" s="36"/>
      <c r="BA85" s="36"/>
      <c r="BB85" s="36"/>
      <c r="BC85" s="36"/>
      <c r="BD85" s="36"/>
      <c r="BE85" s="36"/>
    </row>
    <row r="86" spans="2:59" s="30" customFormat="1" ht="15" x14ac:dyDescent="0.2">
      <c r="B86" s="159" t="s">
        <v>415</v>
      </c>
      <c r="C86" s="156"/>
      <c r="D86" s="86" t="s">
        <v>163</v>
      </c>
      <c r="G86" s="65">
        <v>1.7</v>
      </c>
      <c r="H86" s="81" t="s">
        <v>165</v>
      </c>
      <c r="J86" s="32" t="s">
        <v>322</v>
      </c>
      <c r="K86" s="92">
        <f>IF(ISNUMBER(L86),L86,VLOOKUP(B86,Materiaalit!$C$5:$M$16,7,FALSE))</f>
        <v>6.0000000000000001E-3</v>
      </c>
      <c r="L86" s="39"/>
      <c r="M86" s="40" t="s">
        <v>247</v>
      </c>
      <c r="N86" s="40"/>
      <c r="O86" s="259"/>
      <c r="P86" s="40"/>
      <c r="Q86" s="50"/>
      <c r="R86" s="48" t="str">
        <f>IF(ISNUMBER(K86*V86*1000),K86*V86*1000,"")</f>
        <v/>
      </c>
      <c r="S86" s="98" t="s">
        <v>160</v>
      </c>
      <c r="T86" s="48" t="str">
        <f>IF(ISBLANK(C86),"",IF(D86="t",C86,C86*G86))</f>
        <v/>
      </c>
      <c r="U86" s="46">
        <f>VLOOKUP(B86,Materiaalit!$C$5:$M$16,11,FALSE)</f>
        <v>1.05</v>
      </c>
      <c r="V86" s="48" t="str">
        <f>IF(ISNUMBER(U86*T86),U86*T86,"")</f>
        <v/>
      </c>
      <c r="W86" s="104"/>
      <c r="X86" s="35"/>
      <c r="Y86" s="35"/>
      <c r="Z86" s="35"/>
      <c r="AA86" s="35"/>
      <c r="AB86" s="35"/>
      <c r="AC86" s="35"/>
      <c r="AD86" s="35"/>
      <c r="AE86" s="35"/>
      <c r="AF86" s="35"/>
      <c r="AG86" s="35"/>
      <c r="AH86" s="35"/>
      <c r="AI86" s="35"/>
      <c r="AJ86" s="35"/>
      <c r="AK86" s="35"/>
      <c r="AL86" s="35"/>
      <c r="AM86" s="35"/>
      <c r="AN86" s="36"/>
      <c r="AO86" s="36"/>
      <c r="AP86" s="36"/>
      <c r="AQ86" s="36"/>
      <c r="AR86" s="36"/>
      <c r="AS86" s="36"/>
      <c r="AT86" s="36"/>
      <c r="AU86" s="36"/>
      <c r="AV86" s="36"/>
      <c r="AW86" s="36"/>
      <c r="AX86" s="36"/>
      <c r="AY86" s="36"/>
      <c r="AZ86" s="36"/>
      <c r="BA86" s="36"/>
      <c r="BB86" s="36"/>
      <c r="BC86" s="36"/>
      <c r="BD86" s="36"/>
      <c r="BE86" s="36"/>
    </row>
    <row r="87" spans="2:59" s="30" customFormat="1" ht="15" x14ac:dyDescent="0.2">
      <c r="B87" s="159" t="s">
        <v>417</v>
      </c>
      <c r="C87" s="156"/>
      <c r="D87" s="89" t="s">
        <v>163</v>
      </c>
      <c r="G87" s="65">
        <v>1.7</v>
      </c>
      <c r="H87" s="81" t="s">
        <v>165</v>
      </c>
      <c r="J87" s="32" t="s">
        <v>322</v>
      </c>
      <c r="K87" s="92">
        <f>IF(ISNUMBER(L87),L87,VLOOKUP(B87,Materiaalit!$C$5:$M$16,7,FALSE))</f>
        <v>4.0000000000000001E-3</v>
      </c>
      <c r="L87" s="39"/>
      <c r="M87" s="40" t="s">
        <v>247</v>
      </c>
      <c r="N87" s="40"/>
      <c r="O87" s="259"/>
      <c r="P87" s="40"/>
      <c r="Q87" s="50"/>
      <c r="R87" s="48" t="str">
        <f>IF(ISNUMBER(K87*V87*1000),K87*V87*1000,"")</f>
        <v/>
      </c>
      <c r="S87" s="98" t="s">
        <v>160</v>
      </c>
      <c r="T87" s="48" t="str">
        <f>IF(ISBLANK(C87),"",IF(D87="t",C87,C87*G87))</f>
        <v/>
      </c>
      <c r="U87" s="46">
        <f>VLOOKUP(B87,Materiaalit!$C$5:$M$16,11,FALSE)</f>
        <v>1.05</v>
      </c>
      <c r="V87" s="48" t="str">
        <f>IF(ISNUMBER(U87*T87),U87*T87,"")</f>
        <v/>
      </c>
      <c r="W87" s="104"/>
      <c r="X87" s="35"/>
      <c r="Y87" s="35"/>
      <c r="Z87" s="35"/>
      <c r="AA87" s="35"/>
      <c r="AB87" s="35"/>
      <c r="AC87" s="35"/>
      <c r="AD87" s="35"/>
      <c r="AE87" s="35"/>
      <c r="AF87" s="35"/>
      <c r="AG87" s="35"/>
      <c r="AH87" s="35"/>
      <c r="AI87" s="35"/>
      <c r="AJ87" s="35"/>
      <c r="AK87" s="35"/>
      <c r="AL87" s="35"/>
      <c r="AM87" s="35"/>
      <c r="AN87" s="36"/>
      <c r="AO87" s="36"/>
      <c r="AP87" s="36"/>
      <c r="AQ87" s="36"/>
      <c r="AR87" s="36"/>
      <c r="AS87" s="36"/>
      <c r="AT87" s="36"/>
      <c r="AU87" s="36"/>
      <c r="AV87" s="36"/>
      <c r="AW87" s="36"/>
      <c r="AX87" s="36"/>
      <c r="AY87" s="36"/>
      <c r="AZ87" s="36"/>
      <c r="BA87" s="36"/>
      <c r="BB87" s="36"/>
      <c r="BC87" s="36"/>
      <c r="BD87" s="36"/>
      <c r="BE87" s="36"/>
    </row>
    <row r="88" spans="2:59" s="30" customFormat="1" ht="15" x14ac:dyDescent="0.2">
      <c r="B88" s="159" t="s">
        <v>418</v>
      </c>
      <c r="C88" s="156"/>
      <c r="D88" s="86" t="s">
        <v>163</v>
      </c>
      <c r="G88" s="65">
        <v>1.4</v>
      </c>
      <c r="H88" s="81" t="s">
        <v>165</v>
      </c>
      <c r="J88" s="32" t="s">
        <v>322</v>
      </c>
      <c r="K88" s="92">
        <f>IF(ISNUMBER(L88),L88,VLOOKUP(B88,Materiaalit!$C$5:$M$16,7,FALSE))</f>
        <v>4.0000000000000001E-3</v>
      </c>
      <c r="L88" s="39"/>
      <c r="M88" s="40" t="s">
        <v>247</v>
      </c>
      <c r="N88" s="40"/>
      <c r="O88" s="259"/>
      <c r="P88" s="40"/>
      <c r="Q88" s="50"/>
      <c r="R88" s="48" t="str">
        <f>IF(ISNUMBER(K88*V88*1000),K88*V88*1000,"")</f>
        <v/>
      </c>
      <c r="S88" s="98" t="s">
        <v>160</v>
      </c>
      <c r="T88" s="48" t="str">
        <f>IF(ISBLANK(C88),"",IF(D88="t",C88,C88*G88))</f>
        <v/>
      </c>
      <c r="U88" s="46">
        <f>VLOOKUP(B88,Materiaalit!$C$5:$M$16,11,FALSE)</f>
        <v>1.05</v>
      </c>
      <c r="V88" s="48" t="str">
        <f>IF(ISNUMBER(U88*T88),U88*T88,"")</f>
        <v/>
      </c>
      <c r="W88" s="104"/>
      <c r="X88" s="35"/>
      <c r="Y88" s="35"/>
      <c r="Z88" s="35"/>
      <c r="AA88" s="35"/>
      <c r="AB88" s="35"/>
      <c r="AC88" s="35"/>
      <c r="AD88" s="35"/>
      <c r="AE88" s="35"/>
      <c r="AF88" s="35"/>
      <c r="AG88" s="35"/>
      <c r="AH88" s="35"/>
      <c r="AI88" s="35"/>
      <c r="AJ88" s="35"/>
      <c r="AK88" s="35"/>
      <c r="AL88" s="35"/>
      <c r="AM88" s="35"/>
      <c r="AN88" s="36"/>
      <c r="AO88" s="36"/>
      <c r="AP88" s="36"/>
      <c r="AQ88" s="36"/>
      <c r="AR88" s="36"/>
      <c r="AS88" s="36"/>
      <c r="AT88" s="36"/>
      <c r="AU88" s="36"/>
      <c r="AV88" s="36"/>
      <c r="AW88" s="36"/>
      <c r="AX88" s="36"/>
      <c r="AY88" s="36"/>
      <c r="AZ88" s="36"/>
      <c r="BA88" s="36"/>
      <c r="BB88" s="36"/>
      <c r="BC88" s="36"/>
      <c r="BD88" s="36"/>
      <c r="BE88" s="36"/>
    </row>
    <row r="89" spans="2:59" s="30" customFormat="1" ht="15" x14ac:dyDescent="0.2">
      <c r="B89" s="151" t="s">
        <v>419</v>
      </c>
      <c r="C89" s="156"/>
      <c r="D89" s="86" t="s">
        <v>163</v>
      </c>
      <c r="G89" s="156"/>
      <c r="H89" s="81" t="s">
        <v>165</v>
      </c>
      <c r="J89" s="32" t="s">
        <v>322</v>
      </c>
      <c r="K89" s="92">
        <f>IF(ISNUMBER(L89),L89,Materiaalit!$I$18)</f>
        <v>5.0000000000000001E-3</v>
      </c>
      <c r="L89" s="39"/>
      <c r="M89" s="40" t="s">
        <v>247</v>
      </c>
      <c r="N89" s="40"/>
      <c r="O89" s="259"/>
      <c r="P89" s="40"/>
      <c r="Q89" s="50"/>
      <c r="R89" s="48" t="str">
        <f>IF(ISNUMBER(K89*V89*1000),K89*V89*1000,"")</f>
        <v/>
      </c>
      <c r="S89" s="98" t="s">
        <v>160</v>
      </c>
      <c r="T89" s="48" t="str">
        <f>IF(ISBLANK(C89),"",IF(D89="t",C89,C89*G89))</f>
        <v/>
      </c>
      <c r="U89" s="46">
        <f>Materiaalit!$M$18</f>
        <v>1.05</v>
      </c>
      <c r="V89" s="48" t="str">
        <f>IF(ISNUMBER(U89*T89),U89*T89,"")</f>
        <v/>
      </c>
      <c r="W89" s="104"/>
      <c r="X89" s="35"/>
      <c r="Y89" s="35"/>
      <c r="Z89" s="35"/>
      <c r="AA89" s="35"/>
      <c r="AB89" s="35"/>
      <c r="AC89" s="35"/>
      <c r="AD89" s="35"/>
      <c r="AE89" s="35"/>
      <c r="AF89" s="35"/>
      <c r="AG89" s="35"/>
      <c r="AH89" s="35"/>
      <c r="AI89" s="35"/>
      <c r="AJ89" s="35"/>
      <c r="AK89" s="35"/>
      <c r="AL89" s="35"/>
      <c r="AM89" s="35"/>
      <c r="AN89" s="36"/>
      <c r="AO89" s="36"/>
      <c r="AP89" s="36"/>
      <c r="AQ89" s="36"/>
      <c r="AR89" s="36"/>
      <c r="AS89" s="36"/>
      <c r="AT89" s="36"/>
      <c r="AU89" s="36"/>
      <c r="AV89" s="36"/>
      <c r="AW89" s="36"/>
      <c r="AX89" s="36"/>
      <c r="AY89" s="36"/>
      <c r="AZ89" s="36"/>
      <c r="BA89" s="36"/>
      <c r="BB89" s="36"/>
      <c r="BC89" s="36"/>
      <c r="BD89" s="36"/>
      <c r="BE89" s="36"/>
    </row>
    <row r="90" spans="2:59" s="30" customFormat="1" ht="15" x14ac:dyDescent="0.2">
      <c r="C90" s="33"/>
      <c r="D90" s="81"/>
      <c r="G90" s="33"/>
      <c r="H90" s="81"/>
      <c r="J90" s="32"/>
      <c r="K90" s="33"/>
      <c r="L90" s="33"/>
      <c r="M90" s="81"/>
      <c r="N90" s="81"/>
      <c r="O90" s="96"/>
      <c r="Q90" s="34"/>
      <c r="R90" s="95"/>
      <c r="S90" s="35"/>
      <c r="T90" s="35"/>
      <c r="U90" s="35"/>
      <c r="V90" s="35"/>
      <c r="W90" s="35"/>
      <c r="X90" s="35"/>
      <c r="Y90" s="35"/>
      <c r="Z90" s="35"/>
      <c r="AA90" s="35"/>
      <c r="AB90" s="35"/>
      <c r="AC90" s="35"/>
      <c r="AD90" s="35"/>
      <c r="AE90" s="35"/>
      <c r="AF90" s="35"/>
      <c r="AG90" s="35"/>
      <c r="AH90" s="35"/>
      <c r="AI90" s="35"/>
      <c r="AJ90" s="35"/>
      <c r="AK90" s="35"/>
      <c r="AL90" s="35"/>
      <c r="AM90" s="35"/>
      <c r="AN90" s="36"/>
      <c r="AO90" s="36"/>
      <c r="AP90" s="36"/>
      <c r="AQ90" s="36"/>
      <c r="AR90" s="36"/>
      <c r="AS90" s="36"/>
      <c r="AT90" s="36"/>
      <c r="AU90" s="36"/>
      <c r="AV90" s="36"/>
      <c r="AW90" s="36"/>
      <c r="AX90" s="36"/>
      <c r="AY90" s="36"/>
      <c r="AZ90" s="36"/>
      <c r="BA90" s="36"/>
      <c r="BB90" s="36"/>
      <c r="BC90" s="36"/>
      <c r="BD90" s="36"/>
      <c r="BE90" s="36"/>
    </row>
    <row r="91" spans="2:59" s="30" customFormat="1" ht="15" x14ac:dyDescent="0.2">
      <c r="B91" s="173" t="s">
        <v>540</v>
      </c>
      <c r="C91" s="33"/>
      <c r="D91" s="81"/>
      <c r="E91" s="57"/>
      <c r="G91" s="33"/>
      <c r="H91" s="81"/>
      <c r="J91" s="32"/>
      <c r="K91" s="41"/>
      <c r="L91" s="41"/>
      <c r="M91" s="40"/>
      <c r="N91" s="40"/>
      <c r="O91" s="259"/>
      <c r="P91" s="40"/>
      <c r="Q91" s="162"/>
      <c r="R91" s="163"/>
      <c r="S91" s="97"/>
      <c r="T91" s="163"/>
      <c r="U91" s="53"/>
      <c r="V91" s="163"/>
      <c r="X91" s="53"/>
      <c r="Y91" s="53"/>
      <c r="Z91" s="53"/>
      <c r="AA91" s="53"/>
      <c r="AB91" s="53"/>
      <c r="AC91" s="53"/>
      <c r="AD91" s="53"/>
      <c r="AE91" s="53"/>
      <c r="AF91" s="53"/>
      <c r="AG91" s="53"/>
      <c r="AH91" s="53"/>
      <c r="AI91" s="53"/>
      <c r="AJ91" s="53"/>
      <c r="AK91" s="53"/>
      <c r="AL91" s="53"/>
      <c r="AM91" s="53"/>
      <c r="AN91" s="54"/>
      <c r="AO91" s="54"/>
      <c r="AP91" s="54"/>
      <c r="AQ91" s="54"/>
      <c r="AR91" s="54"/>
      <c r="AS91" s="54"/>
      <c r="AT91" s="54"/>
      <c r="AU91" s="54"/>
      <c r="AV91" s="54"/>
      <c r="AW91" s="54"/>
      <c r="AX91" s="54"/>
      <c r="AY91" s="54"/>
      <c r="AZ91" s="54"/>
      <c r="BA91" s="54"/>
      <c r="BB91" s="54"/>
      <c r="BC91" s="54"/>
      <c r="BD91" s="54"/>
      <c r="BE91" s="54"/>
    </row>
    <row r="92" spans="2:59" s="30" customFormat="1" ht="15" x14ac:dyDescent="0.2">
      <c r="C92" s="33"/>
      <c r="D92" s="81"/>
      <c r="G92" s="33"/>
      <c r="H92" s="81"/>
      <c r="J92" s="32"/>
      <c r="K92" s="33"/>
      <c r="L92" s="33"/>
      <c r="M92" s="81"/>
      <c r="N92" s="81"/>
      <c r="O92" s="81"/>
      <c r="Q92" s="34"/>
      <c r="R92" s="95"/>
      <c r="S92" s="35"/>
      <c r="T92" s="35"/>
      <c r="U92" s="35"/>
      <c r="V92" s="35"/>
      <c r="W92" s="35"/>
      <c r="X92" s="35"/>
      <c r="Y92" s="35"/>
      <c r="Z92" s="35"/>
      <c r="AA92" s="35"/>
      <c r="AB92" s="35"/>
      <c r="AC92" s="35"/>
      <c r="AD92" s="35"/>
      <c r="AE92" s="35"/>
      <c r="AF92" s="35"/>
      <c r="AG92" s="35"/>
      <c r="AH92" s="35"/>
      <c r="AI92" s="35"/>
      <c r="AJ92" s="35"/>
      <c r="AK92" s="35"/>
      <c r="AL92" s="35"/>
      <c r="AM92" s="35"/>
      <c r="AN92" s="36"/>
      <c r="AO92" s="36"/>
      <c r="AP92" s="36"/>
      <c r="AQ92" s="36"/>
      <c r="AR92" s="36"/>
      <c r="AS92" s="36"/>
      <c r="AT92" s="36"/>
      <c r="AU92" s="36"/>
      <c r="AV92" s="36"/>
      <c r="AW92" s="36"/>
      <c r="AX92" s="36"/>
      <c r="AY92" s="36"/>
      <c r="AZ92" s="36"/>
      <c r="BA92" s="36"/>
      <c r="BB92" s="36"/>
      <c r="BC92" s="36"/>
      <c r="BD92" s="36"/>
      <c r="BE92" s="36"/>
    </row>
    <row r="93" spans="2:59" s="289" customFormat="1" ht="18" x14ac:dyDescent="0.2">
      <c r="B93" s="286" t="s">
        <v>324</v>
      </c>
      <c r="C93" s="287"/>
      <c r="D93" s="288"/>
      <c r="G93" s="287"/>
      <c r="H93" s="288"/>
      <c r="K93" s="287"/>
      <c r="L93" s="287"/>
      <c r="M93" s="288"/>
      <c r="N93" s="288"/>
      <c r="O93" s="291"/>
      <c r="P93" s="311"/>
      <c r="Q93" s="295"/>
      <c r="S93" s="294"/>
      <c r="T93" s="294"/>
      <c r="U93" s="294"/>
      <c r="V93" s="294"/>
      <c r="W93" s="294"/>
      <c r="X93" s="294"/>
      <c r="Y93" s="294"/>
      <c r="Z93" s="294"/>
      <c r="AA93" s="294"/>
      <c r="AB93" s="294"/>
      <c r="AC93" s="294"/>
      <c r="AD93" s="294"/>
      <c r="AE93" s="294"/>
      <c r="AF93" s="294"/>
      <c r="AG93" s="294"/>
      <c r="AH93" s="294"/>
      <c r="AI93" s="294"/>
      <c r="AJ93" s="294"/>
      <c r="AK93" s="294"/>
      <c r="AL93" s="294"/>
      <c r="AM93" s="294"/>
      <c r="AN93" s="295"/>
      <c r="AO93" s="295"/>
      <c r="AP93" s="295"/>
      <c r="AQ93" s="295"/>
      <c r="AR93" s="295"/>
      <c r="AS93" s="295"/>
      <c r="AT93" s="295"/>
      <c r="AU93" s="295"/>
      <c r="AV93" s="295"/>
      <c r="AW93" s="295"/>
      <c r="AX93" s="295"/>
      <c r="AY93" s="295"/>
      <c r="AZ93" s="295"/>
      <c r="BA93" s="295"/>
      <c r="BB93" s="295"/>
      <c r="BC93" s="295"/>
      <c r="BD93" s="295"/>
      <c r="BE93" s="295"/>
    </row>
    <row r="94" spans="2:59" s="30" customFormat="1" ht="15.75" x14ac:dyDescent="0.2">
      <c r="B94" s="8"/>
      <c r="C94" s="33"/>
      <c r="D94" s="81"/>
      <c r="G94" s="37"/>
      <c r="H94" s="81"/>
      <c r="J94" s="32"/>
      <c r="K94" s="37"/>
      <c r="L94" s="37"/>
      <c r="M94" s="83"/>
      <c r="N94" s="83"/>
      <c r="O94" s="83"/>
      <c r="P94" s="37"/>
      <c r="Q94" s="34"/>
      <c r="R94" s="95"/>
      <c r="S94" s="35"/>
      <c r="T94" s="35"/>
      <c r="U94" s="35"/>
      <c r="V94" s="35"/>
      <c r="W94" s="35"/>
      <c r="X94" s="35"/>
      <c r="Y94" s="35"/>
      <c r="Z94" s="35"/>
      <c r="AA94" s="35"/>
      <c r="AB94" s="35"/>
      <c r="AC94" s="35"/>
      <c r="AD94" s="35"/>
      <c r="AE94" s="35"/>
      <c r="AF94" s="35"/>
      <c r="AG94" s="35"/>
      <c r="AH94" s="35"/>
      <c r="AI94" s="35"/>
      <c r="AJ94" s="35"/>
      <c r="AK94" s="35"/>
      <c r="AL94" s="35"/>
      <c r="AM94" s="35"/>
      <c r="AN94" s="36"/>
      <c r="AO94" s="36"/>
      <c r="AP94" s="36"/>
      <c r="AQ94" s="36"/>
      <c r="AR94" s="36"/>
      <c r="AS94" s="36"/>
      <c r="AT94" s="36"/>
      <c r="AU94" s="36"/>
      <c r="AV94" s="36"/>
      <c r="AW94" s="36"/>
      <c r="AX94" s="36"/>
      <c r="AY94" s="36"/>
      <c r="AZ94" s="36"/>
      <c r="BA94" s="36"/>
      <c r="BB94" s="36"/>
      <c r="BC94" s="36"/>
      <c r="BD94" s="36"/>
      <c r="BE94" s="36"/>
    </row>
    <row r="95" spans="2:59" s="30" customFormat="1" ht="15.75" x14ac:dyDescent="0.2">
      <c r="B95" s="91" t="str">
        <f>IF(LEFT(B85,5)="Louhe","Louhe",B85)</f>
        <v>Louhe</v>
      </c>
      <c r="C95" s="33"/>
      <c r="D95" s="81"/>
      <c r="G95" s="37" t="s">
        <v>183</v>
      </c>
      <c r="H95" s="81"/>
      <c r="I95" s="81"/>
      <c r="J95" s="32"/>
      <c r="K95" s="37" t="s">
        <v>297</v>
      </c>
      <c r="L95" s="37" t="s">
        <v>185</v>
      </c>
      <c r="M95" s="83"/>
      <c r="N95" s="83"/>
      <c r="O95" s="249" t="s">
        <v>584</v>
      </c>
      <c r="P95" s="144"/>
      <c r="Q95" s="36"/>
      <c r="R95" s="35" t="s">
        <v>318</v>
      </c>
      <c r="S95" s="35"/>
      <c r="T95" s="35" t="s">
        <v>400</v>
      </c>
      <c r="U95" s="35" t="s">
        <v>399</v>
      </c>
      <c r="V95" s="35" t="s">
        <v>397</v>
      </c>
      <c r="W95" s="35" t="s">
        <v>398</v>
      </c>
      <c r="X95" s="35" t="s">
        <v>401</v>
      </c>
      <c r="Y95" s="35" t="s">
        <v>403</v>
      </c>
      <c r="Z95" s="35" t="s">
        <v>402</v>
      </c>
      <c r="AA95" s="35" t="s">
        <v>186</v>
      </c>
      <c r="AB95" s="35" t="s">
        <v>345</v>
      </c>
      <c r="AC95" s="35" t="s">
        <v>404</v>
      </c>
      <c r="AD95" s="35" t="s">
        <v>346</v>
      </c>
      <c r="AE95" s="35" t="s">
        <v>405</v>
      </c>
      <c r="AF95" s="35" t="s">
        <v>406</v>
      </c>
      <c r="AG95" s="35" t="s">
        <v>578</v>
      </c>
      <c r="AH95" s="35" t="s">
        <v>190</v>
      </c>
      <c r="AI95" s="35" t="s">
        <v>249</v>
      </c>
      <c r="AJ95" s="35" t="s">
        <v>191</v>
      </c>
      <c r="AK95" s="104"/>
      <c r="AL95" s="35"/>
      <c r="AM95" s="35"/>
      <c r="AN95" s="36"/>
      <c r="AO95" s="36"/>
      <c r="AP95" s="36"/>
      <c r="AQ95" s="36"/>
      <c r="AR95" s="36"/>
      <c r="AS95" s="36"/>
      <c r="AT95" s="36"/>
      <c r="AU95" s="36"/>
      <c r="AV95" s="36"/>
      <c r="AW95" s="36"/>
      <c r="AX95" s="36"/>
      <c r="AY95" s="36"/>
      <c r="AZ95" s="36"/>
      <c r="BA95" s="36"/>
      <c r="BB95" s="36"/>
      <c r="BC95" s="36"/>
      <c r="BD95" s="36"/>
      <c r="BE95" s="36"/>
      <c r="BF95" s="104"/>
      <c r="BG95" s="104"/>
    </row>
    <row r="96" spans="2:59" s="30" customFormat="1" ht="30" x14ac:dyDescent="0.2">
      <c r="B96" s="44" t="s">
        <v>475</v>
      </c>
      <c r="C96" s="108" t="str">
        <f>IF(ISNUMBER(C85),C85,"")</f>
        <v/>
      </c>
      <c r="D96" s="109" t="str">
        <f>D85</f>
        <v>m3ktr</v>
      </c>
      <c r="G96" s="108">
        <f>IF(ISNUMBER(G85),G85,"")</f>
        <v>1.8</v>
      </c>
      <c r="H96" s="81" t="str">
        <f>IF(D96="t","t/t","t/m3")</f>
        <v>t/m3</v>
      </c>
      <c r="I96" s="81"/>
      <c r="J96" s="169" t="s">
        <v>395</v>
      </c>
      <c r="K96" s="92" t="str">
        <f>IFERROR(IF(ISNUMBER(L96),L96,(VLOOKUP(C97,Kalusto!$C$45:$G$84,5,FALSE)*VLOOKUP(C98,Muut!$D$40:$E$43,2,FALSE))),"--")</f>
        <v>--</v>
      </c>
      <c r="L96" s="39"/>
      <c r="M96" s="40" t="s">
        <v>184</v>
      </c>
      <c r="N96" s="40"/>
      <c r="O96" s="250"/>
      <c r="P96" s="145"/>
      <c r="Q96" s="100"/>
      <c r="R96" s="48" t="str">
        <f>IF(AND(NOT(ISNUMBER(AB96)),NOT(ISNUMBER(AG96))),"",IF(ISNUMBER(AB96),AB96,0)+IF(ISNUMBER(AG96),AG96,0))</f>
        <v/>
      </c>
      <c r="S96" s="98" t="s">
        <v>160</v>
      </c>
      <c r="T96" s="46" t="str">
        <f>IFERROR(IF(ISNUMBER(L96),"Kohdetieto",VLOOKUP(C97,Kalusto!$C$45:$L$84,7,FALSE)),"--")</f>
        <v>--</v>
      </c>
      <c r="U96" s="46" t="str">
        <f>IFERROR(IF(ISNUMBER(L96),"Kohdetieto",VLOOKUP(C97,Kalusto!$C$45:$L$84,8,FALSE)),"--")</f>
        <v>--</v>
      </c>
      <c r="V96" s="47" t="str">
        <f>IFERROR(IF(ISNUMBER(L96),"Kohdetieto",VLOOKUP(C97,Kalusto!$C$45:$L$84,9,FALSE)),"--")</f>
        <v>--</v>
      </c>
      <c r="W96" s="47" t="str">
        <f>IFERROR(IF(ISNUMBER(L96),"Kohdetieto",VLOOKUP(C97,Kalusto!$C$45:$L$84,10,FALSE)),"--")</f>
        <v>--</v>
      </c>
      <c r="X96" s="48" t="str">
        <f>IF(ISBLANK(C96),"",IF(D96="t",C96,IF(ISNUMBER(C96*G96),C96*G96,"")))</f>
        <v/>
      </c>
      <c r="Y96" s="46" t="str">
        <f>IF(ISNUMBER(C99),C99,"")</f>
        <v/>
      </c>
      <c r="Z96" s="48" t="str">
        <f>IF(ISNUMBER(X96/(U96*V96)*Y96),X96/(U96*V96)*Y96,"")</f>
        <v/>
      </c>
      <c r="AA96" s="49" t="str">
        <f>IF(ISNUMBER(L96),L96,K96)</f>
        <v>--</v>
      </c>
      <c r="AB96" s="48" t="str">
        <f>IF(ISNUMBER(Y96*X96*K96),Y96*X96*K96,"")</f>
        <v/>
      </c>
      <c r="AC96" s="48" t="str">
        <f>IF(C121="Kyllä",Y96,"")</f>
        <v/>
      </c>
      <c r="AD96" s="48" t="str">
        <f>IF(C121="Kyllä",IF(ISNUMBER(X96/(U96*V96)),X96/(U96*V96),""),"")</f>
        <v/>
      </c>
      <c r="AE96" s="48" t="str">
        <f>IF(ISNUMBER(AD96*AC96),AD96*AC96,"")</f>
        <v/>
      </c>
      <c r="AF96" s="49" t="str">
        <f>IF(ISNUMBER(L97),L97,K97)</f>
        <v>--</v>
      </c>
      <c r="AG96" s="48" t="str">
        <f>IF(ISNUMBER(AC96*AD96*K97),AC96*AD96*K97,"")</f>
        <v/>
      </c>
      <c r="AH96" s="46">
        <f>IF(T96="Jakelukuorma-auto",0,IF(T96="Maansiirtoauto",4,IF(T96="Puoliperävaunu",6,8)))</f>
        <v>8</v>
      </c>
      <c r="AI96" s="46">
        <f>IF(AND(T96="Jakelukuorma-auto",U96=6),0,IF(AND(T96="Jakelukuorma-auto",U96=15),2,0))</f>
        <v>0</v>
      </c>
      <c r="AJ96" s="46">
        <f>IF(W96="maantieajo",0,1)</f>
        <v>1</v>
      </c>
      <c r="AK96" s="104"/>
      <c r="AL96" s="35"/>
      <c r="AM96" s="35"/>
      <c r="AN96" s="36"/>
      <c r="AO96" s="36"/>
      <c r="AP96" s="36"/>
      <c r="AQ96" s="36"/>
      <c r="AR96" s="36"/>
      <c r="AS96" s="36"/>
      <c r="AT96" s="36"/>
      <c r="AU96" s="36"/>
      <c r="AV96" s="36"/>
      <c r="AW96" s="36"/>
      <c r="AX96" s="36"/>
      <c r="AY96" s="36"/>
      <c r="AZ96" s="36"/>
      <c r="BA96" s="36"/>
      <c r="BB96" s="36"/>
      <c r="BC96" s="36"/>
      <c r="BD96" s="36"/>
      <c r="BE96" s="36"/>
      <c r="BF96" s="104"/>
      <c r="BG96" s="104"/>
    </row>
    <row r="97" spans="2:59" s="30" customFormat="1" ht="45" x14ac:dyDescent="0.2">
      <c r="B97" s="166" t="s">
        <v>463</v>
      </c>
      <c r="C97" s="471" t="s">
        <v>298</v>
      </c>
      <c r="D97" s="472"/>
      <c r="E97" s="472"/>
      <c r="F97" s="472"/>
      <c r="G97" s="473"/>
      <c r="H97" s="81"/>
      <c r="I97" s="81"/>
      <c r="J97" s="32" t="s">
        <v>396</v>
      </c>
      <c r="K97" s="92" t="str">
        <f>IFERROR(IF(ISNUMBER(L97),L97,IF($C$121="Ei","",VLOOKUP(C97,Kalusto!$C$45:$U$84,19,FALSE)*VLOOKUP(C98,Muut!$D$40:$E$43,2,FALSE))),"--")</f>
        <v>--</v>
      </c>
      <c r="L97" s="39"/>
      <c r="M97" s="40" t="s">
        <v>188</v>
      </c>
      <c r="N97" s="40"/>
      <c r="O97" s="259"/>
      <c r="P97" s="143"/>
      <c r="Q97" s="101"/>
      <c r="R97" s="35"/>
      <c r="S97" s="35"/>
      <c r="T97" s="35"/>
      <c r="U97" s="35"/>
      <c r="V97" s="35"/>
      <c r="W97" s="35"/>
      <c r="X97" s="35"/>
      <c r="Y97" s="35"/>
      <c r="Z97" s="35"/>
      <c r="AA97" s="35"/>
      <c r="AB97" s="35"/>
      <c r="AC97" s="35"/>
      <c r="AD97" s="35"/>
      <c r="AE97" s="35"/>
      <c r="AF97" s="35"/>
      <c r="AG97" s="35"/>
      <c r="AH97" s="35"/>
      <c r="AI97" s="35"/>
      <c r="AJ97" s="35"/>
      <c r="AK97" s="104"/>
      <c r="AL97" s="35"/>
      <c r="AM97" s="35"/>
      <c r="AN97" s="36"/>
      <c r="AO97" s="36"/>
      <c r="AP97" s="36"/>
      <c r="AQ97" s="36"/>
      <c r="AR97" s="36"/>
      <c r="AS97" s="36"/>
      <c r="AT97" s="36"/>
      <c r="AU97" s="36"/>
      <c r="AV97" s="36"/>
      <c r="AW97" s="36"/>
      <c r="AX97" s="36"/>
      <c r="AY97" s="36"/>
      <c r="AZ97" s="36"/>
      <c r="BA97" s="36"/>
      <c r="BB97" s="36"/>
      <c r="BC97" s="36"/>
      <c r="BD97" s="36"/>
      <c r="BE97" s="36"/>
      <c r="BF97" s="104"/>
      <c r="BG97" s="104"/>
    </row>
    <row r="98" spans="2:59" s="30" customFormat="1" ht="15" x14ac:dyDescent="0.2">
      <c r="B98" s="182" t="s">
        <v>457</v>
      </c>
      <c r="C98" s="156" t="s">
        <v>309</v>
      </c>
      <c r="D98" s="33"/>
      <c r="E98" s="33"/>
      <c r="F98" s="33"/>
      <c r="G98" s="33"/>
      <c r="H98" s="57"/>
      <c r="J98" s="169"/>
      <c r="K98" s="169"/>
      <c r="L98" s="169"/>
      <c r="M98" s="40"/>
      <c r="N98" s="40"/>
      <c r="O98" s="259"/>
      <c r="Q98" s="45"/>
      <c r="R98" s="98"/>
      <c r="S98" s="98"/>
      <c r="T98" s="35"/>
      <c r="U98" s="35"/>
      <c r="V98" s="177"/>
      <c r="W98" s="177"/>
      <c r="X98" s="59"/>
      <c r="Y98" s="35"/>
      <c r="Z98" s="59"/>
      <c r="AA98" s="178"/>
      <c r="AB98" s="59"/>
      <c r="AC98" s="59"/>
      <c r="AD98" s="59"/>
      <c r="AE98" s="59"/>
      <c r="AF98" s="178"/>
      <c r="AG98" s="59"/>
      <c r="AH98" s="35"/>
      <c r="AI98" s="35"/>
      <c r="AJ98" s="35"/>
      <c r="AK98" s="104"/>
      <c r="AL98" s="35"/>
      <c r="AM98" s="35"/>
      <c r="AN98" s="36"/>
      <c r="AO98" s="36"/>
      <c r="AP98" s="36"/>
      <c r="AQ98" s="36"/>
      <c r="AR98" s="36"/>
      <c r="AS98" s="36"/>
      <c r="AT98" s="36"/>
      <c r="AU98" s="36"/>
      <c r="AV98" s="36"/>
      <c r="AW98" s="36"/>
      <c r="AX98" s="36"/>
      <c r="AY98" s="36"/>
      <c r="AZ98" s="36"/>
      <c r="BA98" s="36"/>
      <c r="BB98" s="36"/>
      <c r="BC98" s="36"/>
      <c r="BD98" s="36"/>
      <c r="BE98" s="36"/>
    </row>
    <row r="99" spans="2:59" s="30" customFormat="1" ht="15" x14ac:dyDescent="0.2">
      <c r="B99" s="44" t="s">
        <v>474</v>
      </c>
      <c r="C99" s="158"/>
      <c r="D99" s="81" t="s">
        <v>5</v>
      </c>
      <c r="G99" s="33"/>
      <c r="H99" s="81"/>
      <c r="I99" s="81"/>
      <c r="J99" s="32"/>
      <c r="K99" s="33"/>
      <c r="L99" s="33"/>
      <c r="M99" s="81"/>
      <c r="N99" s="81"/>
      <c r="O99" s="96"/>
      <c r="P99" s="146"/>
      <c r="Q99" s="101"/>
      <c r="R99" s="35"/>
      <c r="S99" s="35"/>
      <c r="T99" s="35"/>
      <c r="U99" s="35"/>
      <c r="V99" s="35"/>
      <c r="W99" s="35"/>
      <c r="X99" s="35"/>
      <c r="Y99" s="35"/>
      <c r="Z99" s="35"/>
      <c r="AA99" s="35"/>
      <c r="AB99" s="35"/>
      <c r="AC99" s="35"/>
      <c r="AD99" s="35"/>
      <c r="AE99" s="35"/>
      <c r="AF99" s="35"/>
      <c r="AG99" s="35"/>
      <c r="AH99" s="35"/>
      <c r="AI99" s="35"/>
      <c r="AJ99" s="35"/>
      <c r="AK99" s="104"/>
      <c r="AL99" s="35"/>
      <c r="AM99" s="35"/>
      <c r="AN99" s="36"/>
      <c r="AO99" s="36"/>
      <c r="AP99" s="36"/>
      <c r="AQ99" s="36"/>
      <c r="AR99" s="36"/>
      <c r="AS99" s="36"/>
      <c r="AT99" s="36"/>
      <c r="AU99" s="36"/>
      <c r="AV99" s="36"/>
      <c r="AW99" s="36"/>
      <c r="AX99" s="36"/>
      <c r="AY99" s="36"/>
      <c r="AZ99" s="36"/>
      <c r="BA99" s="36"/>
      <c r="BB99" s="36"/>
      <c r="BC99" s="36"/>
      <c r="BD99" s="36"/>
      <c r="BE99" s="36"/>
      <c r="BF99" s="104"/>
      <c r="BG99" s="104"/>
    </row>
    <row r="100" spans="2:59" s="30" customFormat="1" ht="15.75" x14ac:dyDescent="0.2">
      <c r="B100" s="91" t="str">
        <f>IF(LEFT(B86,6)="Murske","Murske",B86)</f>
        <v>Murske</v>
      </c>
      <c r="C100" s="33"/>
      <c r="D100" s="81"/>
      <c r="G100" s="33"/>
      <c r="H100" s="81"/>
      <c r="I100" s="81"/>
      <c r="J100" s="32"/>
      <c r="K100" s="37" t="s">
        <v>297</v>
      </c>
      <c r="L100" s="37" t="s">
        <v>185</v>
      </c>
      <c r="M100" s="83"/>
      <c r="N100" s="83"/>
      <c r="O100" s="260"/>
      <c r="P100" s="144"/>
      <c r="Q100" s="36"/>
      <c r="R100" s="35" t="s">
        <v>318</v>
      </c>
      <c r="S100" s="35"/>
      <c r="T100" s="35" t="s">
        <v>400</v>
      </c>
      <c r="U100" s="35" t="s">
        <v>399</v>
      </c>
      <c r="V100" s="35" t="s">
        <v>397</v>
      </c>
      <c r="W100" s="35" t="s">
        <v>398</v>
      </c>
      <c r="X100" s="35" t="s">
        <v>401</v>
      </c>
      <c r="Y100" s="35" t="s">
        <v>403</v>
      </c>
      <c r="Z100" s="35" t="s">
        <v>402</v>
      </c>
      <c r="AA100" s="35" t="s">
        <v>186</v>
      </c>
      <c r="AB100" s="35" t="s">
        <v>345</v>
      </c>
      <c r="AC100" s="35" t="s">
        <v>404</v>
      </c>
      <c r="AD100" s="35" t="s">
        <v>346</v>
      </c>
      <c r="AE100" s="35" t="s">
        <v>405</v>
      </c>
      <c r="AF100" s="35" t="s">
        <v>406</v>
      </c>
      <c r="AG100" s="35" t="s">
        <v>578</v>
      </c>
      <c r="AH100" s="35" t="s">
        <v>190</v>
      </c>
      <c r="AI100" s="35" t="s">
        <v>249</v>
      </c>
      <c r="AJ100" s="35" t="s">
        <v>191</v>
      </c>
      <c r="AK100" s="104"/>
      <c r="AL100" s="35"/>
      <c r="AM100" s="35"/>
      <c r="AN100" s="36"/>
      <c r="AO100" s="36"/>
      <c r="AP100" s="36"/>
      <c r="AQ100" s="36"/>
      <c r="AR100" s="36"/>
      <c r="AS100" s="36"/>
      <c r="AT100" s="36"/>
      <c r="AU100" s="36"/>
      <c r="AV100" s="36"/>
      <c r="AW100" s="36"/>
      <c r="AX100" s="36"/>
      <c r="AY100" s="36"/>
      <c r="AZ100" s="36"/>
      <c r="BA100" s="36"/>
      <c r="BB100" s="36"/>
      <c r="BC100" s="36"/>
      <c r="BD100" s="36"/>
      <c r="BE100" s="36"/>
      <c r="BF100" s="104"/>
      <c r="BG100" s="104"/>
    </row>
    <row r="101" spans="2:59" s="30" customFormat="1" ht="30" x14ac:dyDescent="0.2">
      <c r="B101" s="44" t="s">
        <v>475</v>
      </c>
      <c r="C101" s="108" t="str">
        <f>IF(ISNUMBER(C86),C86,"")</f>
        <v/>
      </c>
      <c r="D101" s="109" t="str">
        <f>D86</f>
        <v>m3ktr</v>
      </c>
      <c r="G101" s="108">
        <f>IF(ISNUMBER(G86),G86,"")</f>
        <v>1.7</v>
      </c>
      <c r="H101" s="81" t="str">
        <f>IF(D101="t","t/t","t/m3")</f>
        <v>t/m3</v>
      </c>
      <c r="I101" s="81"/>
      <c r="J101" s="169" t="s">
        <v>395</v>
      </c>
      <c r="K101" s="92" t="str">
        <f>IFERROR(IF(ISNUMBER(L101),L101,(VLOOKUP(C102,Kalusto!$C$45:$G$84,5,FALSE)*VLOOKUP(C103,Muut!$D$40:$E$43,2,FALSE))),"--")</f>
        <v>--</v>
      </c>
      <c r="L101" s="39"/>
      <c r="M101" s="40" t="s">
        <v>184</v>
      </c>
      <c r="N101" s="40"/>
      <c r="O101" s="259"/>
      <c r="P101" s="145"/>
      <c r="Q101" s="100"/>
      <c r="R101" s="48" t="str">
        <f>IF(AND(NOT(ISNUMBER(AB101)),NOT(ISNUMBER(AG101))),"",IF(ISNUMBER(AB101),AB101,0)+IF(ISNUMBER(AG101),AG101,0))</f>
        <v/>
      </c>
      <c r="S101" s="98" t="s">
        <v>160</v>
      </c>
      <c r="T101" s="46" t="str">
        <f>IFERROR(IF(ISNUMBER(L101),"Kohdetieto",VLOOKUP(C102,Kalusto!$C$45:$L$84,7,FALSE)),"--")</f>
        <v>--</v>
      </c>
      <c r="U101" s="46" t="str">
        <f>IFERROR(IF(ISNUMBER(L101),"Kohdetieto",VLOOKUP(C102,Kalusto!$C$45:$L$84,8,FALSE)),"--")</f>
        <v>--</v>
      </c>
      <c r="V101" s="47" t="str">
        <f>IFERROR(IF(ISNUMBER(L101),"Kohdetieto",VLOOKUP(C102,Kalusto!$C$45:$L$84,9,FALSE)),"--")</f>
        <v>--</v>
      </c>
      <c r="W101" s="47" t="str">
        <f>IFERROR(IF(ISNUMBER(L101),"Kohdetieto",VLOOKUP(C102,Kalusto!$C$45:$L$84,10,FALSE)),"--")</f>
        <v>--</v>
      </c>
      <c r="X101" s="48" t="str">
        <f>IF(ISBLANK(C101),"",IF(D101="t",C101,IF(ISNUMBER(C101*G101),C101*G101,"")))</f>
        <v/>
      </c>
      <c r="Y101" s="46" t="str">
        <f>IF(ISNUMBER(C104),C104,"")</f>
        <v/>
      </c>
      <c r="Z101" s="48" t="str">
        <f>IF(ISNUMBER(X101/(U101*V101)*Y101),X101/(U101*V101)*Y101,"")</f>
        <v/>
      </c>
      <c r="AA101" s="49" t="str">
        <f>IF(ISNUMBER(L101),L101,K101)</f>
        <v>--</v>
      </c>
      <c r="AB101" s="48" t="str">
        <f>IF(ISNUMBER(Y101*X101*K101),Y101*X101*K101,"")</f>
        <v/>
      </c>
      <c r="AC101" s="48" t="str">
        <f>IF(C121="Kyllä",Y101,"")</f>
        <v/>
      </c>
      <c r="AD101" s="48" t="str">
        <f>IF(C121="Kyllä",IF(ISNUMBER(X101/(U101*V101)),X101/(U101*V101),""),"")</f>
        <v/>
      </c>
      <c r="AE101" s="48" t="str">
        <f>IF(ISNUMBER(AD101*AC101),AD101*AC101,"")</f>
        <v/>
      </c>
      <c r="AF101" s="49" t="str">
        <f>IF(ISNUMBER(L102),L102,K102)</f>
        <v>--</v>
      </c>
      <c r="AG101" s="48" t="str">
        <f>IF(ISNUMBER(AC101*AD101*K102),AC101*AD101*K102,"")</f>
        <v/>
      </c>
      <c r="AH101" s="46">
        <f>IF(T101="Jakelukuorma-auto",0,IF(T101="Maansiirtoauto",4,IF(T101="Puoliperävaunu",6,8)))</f>
        <v>8</v>
      </c>
      <c r="AI101" s="46">
        <f>IF(AND(T101="Jakelukuorma-auto",U101=6),0,IF(AND(T101="Jakelukuorma-auto",U101=15),2,0))</f>
        <v>0</v>
      </c>
      <c r="AJ101" s="46">
        <f>IF(W101="maantieajo",0,1)</f>
        <v>1</v>
      </c>
      <c r="AK101" s="104"/>
      <c r="AL101" s="35"/>
      <c r="AM101" s="35"/>
      <c r="AN101" s="36"/>
      <c r="AO101" s="36"/>
      <c r="AP101" s="36"/>
      <c r="AQ101" s="36"/>
      <c r="AR101" s="36"/>
      <c r="AS101" s="36"/>
      <c r="AT101" s="36"/>
      <c r="AU101" s="36"/>
      <c r="AV101" s="36"/>
      <c r="AW101" s="36"/>
      <c r="AX101" s="36"/>
      <c r="AY101" s="36"/>
      <c r="AZ101" s="36"/>
      <c r="BA101" s="36"/>
      <c r="BB101" s="36"/>
      <c r="BC101" s="36"/>
      <c r="BD101" s="36"/>
      <c r="BE101" s="36"/>
      <c r="BF101" s="104"/>
      <c r="BG101" s="104"/>
    </row>
    <row r="102" spans="2:59" s="30" customFormat="1" ht="45" x14ac:dyDescent="0.2">
      <c r="B102" s="166" t="s">
        <v>463</v>
      </c>
      <c r="C102" s="471" t="s">
        <v>298</v>
      </c>
      <c r="D102" s="472"/>
      <c r="E102" s="472"/>
      <c r="F102" s="472"/>
      <c r="G102" s="473"/>
      <c r="H102" s="81"/>
      <c r="I102" s="81"/>
      <c r="J102" s="32" t="s">
        <v>396</v>
      </c>
      <c r="K102" s="92" t="str">
        <f>IFERROR(IF(ISNUMBER(L102),L102,IF($C$121="Ei","",VLOOKUP(C102,Kalusto!$C$45:$U$84,19,FALSE)*VLOOKUP(C103,Muut!$D$40:$E$43,2,FALSE))),"--")</f>
        <v>--</v>
      </c>
      <c r="L102" s="39"/>
      <c r="M102" s="40" t="s">
        <v>188</v>
      </c>
      <c r="N102" s="40"/>
      <c r="O102" s="259"/>
      <c r="P102" s="143"/>
      <c r="Q102" s="101"/>
      <c r="R102" s="35"/>
      <c r="S102" s="35"/>
      <c r="T102" s="35"/>
      <c r="U102" s="35"/>
      <c r="V102" s="35"/>
      <c r="W102" s="35"/>
      <c r="X102" s="35"/>
      <c r="Y102" s="35"/>
      <c r="Z102" s="35"/>
      <c r="AA102" s="35"/>
      <c r="AB102" s="35"/>
      <c r="AC102" s="35"/>
      <c r="AD102" s="35"/>
      <c r="AE102" s="35"/>
      <c r="AF102" s="35"/>
      <c r="AG102" s="35"/>
      <c r="AH102" s="35"/>
      <c r="AI102" s="35"/>
      <c r="AJ102" s="35"/>
      <c r="AK102" s="104"/>
      <c r="AL102" s="35"/>
      <c r="AM102" s="35"/>
      <c r="AN102" s="36"/>
      <c r="AO102" s="36"/>
      <c r="AP102" s="36"/>
      <c r="AQ102" s="36"/>
      <c r="AR102" s="36"/>
      <c r="AS102" s="36"/>
      <c r="AT102" s="36"/>
      <c r="AU102" s="36"/>
      <c r="AV102" s="36"/>
      <c r="AW102" s="36"/>
      <c r="AX102" s="36"/>
      <c r="AY102" s="36"/>
      <c r="AZ102" s="36"/>
      <c r="BA102" s="36"/>
      <c r="BB102" s="36"/>
      <c r="BC102" s="36"/>
      <c r="BD102" s="36"/>
      <c r="BE102" s="36"/>
      <c r="BF102" s="104"/>
      <c r="BG102" s="104"/>
    </row>
    <row r="103" spans="2:59" s="30" customFormat="1" ht="15" x14ac:dyDescent="0.2">
      <c r="B103" s="182" t="s">
        <v>457</v>
      </c>
      <c r="C103" s="156" t="s">
        <v>309</v>
      </c>
      <c r="D103" s="33"/>
      <c r="E103" s="33"/>
      <c r="F103" s="33"/>
      <c r="G103" s="33"/>
      <c r="H103" s="57"/>
      <c r="J103" s="169"/>
      <c r="K103" s="169"/>
      <c r="L103" s="169"/>
      <c r="M103" s="40"/>
      <c r="N103" s="40"/>
      <c r="O103" s="259"/>
      <c r="Q103" s="45"/>
      <c r="R103" s="98"/>
      <c r="S103" s="98"/>
      <c r="T103" s="35"/>
      <c r="U103" s="35"/>
      <c r="V103" s="177"/>
      <c r="W103" s="177"/>
      <c r="X103" s="59"/>
      <c r="Y103" s="35"/>
      <c r="Z103" s="59"/>
      <c r="AA103" s="178"/>
      <c r="AB103" s="59"/>
      <c r="AC103" s="59"/>
      <c r="AD103" s="59"/>
      <c r="AE103" s="59"/>
      <c r="AF103" s="178"/>
      <c r="AG103" s="59"/>
      <c r="AH103" s="35"/>
      <c r="AI103" s="35"/>
      <c r="AJ103" s="35"/>
      <c r="AK103" s="104"/>
      <c r="AL103" s="35"/>
      <c r="AM103" s="35"/>
      <c r="AN103" s="36"/>
      <c r="AO103" s="36"/>
      <c r="AP103" s="36"/>
      <c r="AQ103" s="36"/>
      <c r="AR103" s="36"/>
      <c r="AS103" s="36"/>
      <c r="AT103" s="36"/>
      <c r="AU103" s="36"/>
      <c r="AV103" s="36"/>
      <c r="AW103" s="36"/>
      <c r="AX103" s="36"/>
      <c r="AY103" s="36"/>
      <c r="AZ103" s="36"/>
      <c r="BA103" s="36"/>
      <c r="BB103" s="36"/>
      <c r="BC103" s="36"/>
      <c r="BD103" s="36"/>
      <c r="BE103" s="36"/>
    </row>
    <row r="104" spans="2:59" s="30" customFormat="1" ht="15" x14ac:dyDescent="0.2">
      <c r="B104" s="44" t="s">
        <v>474</v>
      </c>
      <c r="C104" s="158"/>
      <c r="D104" s="81" t="s">
        <v>5</v>
      </c>
      <c r="G104" s="33"/>
      <c r="H104" s="81"/>
      <c r="I104" s="81"/>
      <c r="J104" s="32"/>
      <c r="K104" s="33"/>
      <c r="L104" s="33"/>
      <c r="M104" s="81"/>
      <c r="N104" s="81"/>
      <c r="O104" s="96"/>
      <c r="P104" s="146"/>
      <c r="Q104" s="101"/>
      <c r="R104" s="35"/>
      <c r="S104" s="35"/>
      <c r="T104" s="35"/>
      <c r="U104" s="35"/>
      <c r="V104" s="35"/>
      <c r="W104" s="35"/>
      <c r="X104" s="35"/>
      <c r="Y104" s="35"/>
      <c r="Z104" s="35"/>
      <c r="AA104" s="35"/>
      <c r="AB104" s="35"/>
      <c r="AC104" s="35"/>
      <c r="AD104" s="35"/>
      <c r="AE104" s="35"/>
      <c r="AF104" s="35"/>
      <c r="AG104" s="35"/>
      <c r="AH104" s="35"/>
      <c r="AI104" s="35"/>
      <c r="AJ104" s="35"/>
      <c r="AK104" s="104"/>
      <c r="AL104" s="35"/>
      <c r="AM104" s="35"/>
      <c r="AN104" s="36"/>
      <c r="AO104" s="36"/>
      <c r="AP104" s="36"/>
      <c r="AQ104" s="36"/>
      <c r="AR104" s="36"/>
      <c r="AS104" s="36"/>
      <c r="AT104" s="36"/>
      <c r="AU104" s="36"/>
      <c r="AV104" s="36"/>
      <c r="AW104" s="36"/>
      <c r="AX104" s="36"/>
      <c r="AY104" s="36"/>
      <c r="AZ104" s="36"/>
      <c r="BA104" s="36"/>
      <c r="BB104" s="36"/>
      <c r="BC104" s="36"/>
      <c r="BD104" s="36"/>
      <c r="BE104" s="36"/>
      <c r="BF104" s="104"/>
      <c r="BG104" s="104"/>
    </row>
    <row r="105" spans="2:59" s="30" customFormat="1" ht="15.75" x14ac:dyDescent="0.2">
      <c r="B105" s="91" t="str">
        <f>IF(LEFT(B87,4)="Sora","Sora",B87)</f>
        <v>Sora</v>
      </c>
      <c r="C105" s="33"/>
      <c r="D105" s="81"/>
      <c r="G105" s="33"/>
      <c r="H105" s="81"/>
      <c r="I105" s="81"/>
      <c r="J105" s="32"/>
      <c r="K105" s="37" t="s">
        <v>297</v>
      </c>
      <c r="L105" s="37" t="s">
        <v>185</v>
      </c>
      <c r="M105" s="83"/>
      <c r="N105" s="83"/>
      <c r="O105" s="260"/>
      <c r="P105" s="144"/>
      <c r="Q105" s="36"/>
      <c r="R105" s="35" t="s">
        <v>318</v>
      </c>
      <c r="S105" s="35"/>
      <c r="T105" s="35" t="s">
        <v>400</v>
      </c>
      <c r="U105" s="35" t="s">
        <v>399</v>
      </c>
      <c r="V105" s="35" t="s">
        <v>397</v>
      </c>
      <c r="W105" s="35" t="s">
        <v>398</v>
      </c>
      <c r="X105" s="35" t="s">
        <v>401</v>
      </c>
      <c r="Y105" s="35" t="s">
        <v>403</v>
      </c>
      <c r="Z105" s="35" t="s">
        <v>402</v>
      </c>
      <c r="AA105" s="35" t="s">
        <v>186</v>
      </c>
      <c r="AB105" s="35" t="s">
        <v>345</v>
      </c>
      <c r="AC105" s="35" t="s">
        <v>404</v>
      </c>
      <c r="AD105" s="35" t="s">
        <v>346</v>
      </c>
      <c r="AE105" s="35" t="s">
        <v>405</v>
      </c>
      <c r="AF105" s="35" t="s">
        <v>406</v>
      </c>
      <c r="AG105" s="35" t="s">
        <v>578</v>
      </c>
      <c r="AH105" s="35" t="s">
        <v>190</v>
      </c>
      <c r="AI105" s="35" t="s">
        <v>249</v>
      </c>
      <c r="AJ105" s="35" t="s">
        <v>191</v>
      </c>
      <c r="AK105" s="104"/>
      <c r="AL105" s="35"/>
      <c r="AM105" s="35"/>
      <c r="AN105" s="36"/>
      <c r="AO105" s="36"/>
      <c r="AP105" s="36"/>
      <c r="AQ105" s="36"/>
      <c r="AR105" s="36"/>
      <c r="AS105" s="36"/>
      <c r="AT105" s="36"/>
      <c r="AU105" s="36"/>
      <c r="AV105" s="36"/>
      <c r="AW105" s="36"/>
      <c r="AX105" s="36"/>
      <c r="AY105" s="36"/>
      <c r="AZ105" s="36"/>
      <c r="BA105" s="36"/>
      <c r="BB105" s="36"/>
      <c r="BC105" s="36"/>
      <c r="BD105" s="36"/>
      <c r="BE105" s="36"/>
      <c r="BF105" s="104"/>
      <c r="BG105" s="104"/>
    </row>
    <row r="106" spans="2:59" s="30" customFormat="1" ht="30" x14ac:dyDescent="0.2">
      <c r="B106" s="44" t="s">
        <v>475</v>
      </c>
      <c r="C106" s="108" t="str">
        <f>IF(ISNUMBER(C87),C87,"")</f>
        <v/>
      </c>
      <c r="D106" s="109" t="str">
        <f>D87</f>
        <v>m3ktr</v>
      </c>
      <c r="G106" s="108">
        <f>IF(ISNUMBER(G87),G87,"")</f>
        <v>1.7</v>
      </c>
      <c r="H106" s="81" t="str">
        <f>IF(D106="t","t/t","t/m3")</f>
        <v>t/m3</v>
      </c>
      <c r="I106" s="81"/>
      <c r="J106" s="169" t="s">
        <v>395</v>
      </c>
      <c r="K106" s="92" t="str">
        <f>IFERROR(IF(ISNUMBER(L106),L106,(VLOOKUP(C107,Kalusto!$C$45:$G$84,5,FALSE)*VLOOKUP(C108,Muut!$D$40:$E$43,2,FALSE))),"--")</f>
        <v>--</v>
      </c>
      <c r="L106" s="39"/>
      <c r="M106" s="40" t="s">
        <v>184</v>
      </c>
      <c r="N106" s="40"/>
      <c r="O106" s="259"/>
      <c r="P106" s="145"/>
      <c r="Q106" s="100"/>
      <c r="R106" s="48" t="str">
        <f>IF(AND(NOT(ISNUMBER(AB106)),NOT(ISNUMBER(AG106))),"",IF(ISNUMBER(AB106),AB106,0)+IF(ISNUMBER(AG106),AG106,0))</f>
        <v/>
      </c>
      <c r="S106" s="98" t="s">
        <v>160</v>
      </c>
      <c r="T106" s="46" t="str">
        <f>IFERROR(IF(ISNUMBER(L106),"Kohdetieto",VLOOKUP(C107,Kalusto!$C$45:$L$84,7,FALSE)),"--")</f>
        <v>--</v>
      </c>
      <c r="U106" s="46" t="str">
        <f>IFERROR(IF(ISNUMBER(L106),"Kohdetieto",VLOOKUP(C107,Kalusto!$C$45:$L$84,8,FALSE)),"--")</f>
        <v>--</v>
      </c>
      <c r="V106" s="47" t="str">
        <f>IFERROR(IF(ISNUMBER(L106),"Kohdetieto",VLOOKUP(C107,Kalusto!$C$45:$L$84,9,FALSE)),"--")</f>
        <v>--</v>
      </c>
      <c r="W106" s="47" t="str">
        <f>IFERROR(IF(ISNUMBER(L106),"Kohdetieto",VLOOKUP(C107,Kalusto!$C$45:$L$84,10,FALSE)),"--")</f>
        <v>--</v>
      </c>
      <c r="X106" s="48" t="str">
        <f>IF(ISBLANK(C106),"",IF(D106="t",C106,IF(ISNUMBER(C106*G106),C106*G106,"")))</f>
        <v/>
      </c>
      <c r="Y106" s="46" t="str">
        <f>IF(ISNUMBER(C109),C109,"")</f>
        <v/>
      </c>
      <c r="Z106" s="48" t="str">
        <f>IF(ISNUMBER(X106/(U106*V106)*Y106),X106/(U106*V106)*Y106,"")</f>
        <v/>
      </c>
      <c r="AA106" s="49" t="str">
        <f>IF(ISNUMBER(L106),L106,K106)</f>
        <v>--</v>
      </c>
      <c r="AB106" s="48" t="str">
        <f>IF(ISNUMBER(Y106*X106*K106),Y106*X106*K106,"")</f>
        <v/>
      </c>
      <c r="AC106" s="48" t="str">
        <f>IF(C121="Kyllä",Y106,"")</f>
        <v/>
      </c>
      <c r="AD106" s="48" t="str">
        <f>IF(C121="Kyllä",IF(ISNUMBER(X106/(U106*V106)),X106/(U106*V106),""),"")</f>
        <v/>
      </c>
      <c r="AE106" s="48" t="str">
        <f>IF(ISNUMBER(AD106*AC106),AD106*AC106,"")</f>
        <v/>
      </c>
      <c r="AF106" s="49" t="str">
        <f>IF(ISNUMBER(L107),L107,K107)</f>
        <v>--</v>
      </c>
      <c r="AG106" s="48" t="str">
        <f>IF(ISNUMBER(AC106*AD106*K107),AC106*AD106*K107,"")</f>
        <v/>
      </c>
      <c r="AH106" s="46">
        <f>IF(T106="Jakelukuorma-auto",0,IF(T106="Maansiirtoauto",4,IF(T106="Puoliperävaunu",6,8)))</f>
        <v>8</v>
      </c>
      <c r="AI106" s="46">
        <f>IF(AND(T106="Jakelukuorma-auto",U106=6),0,IF(AND(T106="Jakelukuorma-auto",U106=15),2,0))</f>
        <v>0</v>
      </c>
      <c r="AJ106" s="46">
        <f>IF(W106="maantieajo",0,1)</f>
        <v>1</v>
      </c>
      <c r="AK106" s="104"/>
      <c r="AL106" s="35"/>
      <c r="AM106" s="35"/>
      <c r="AN106" s="36"/>
      <c r="AO106" s="36"/>
      <c r="AP106" s="36"/>
      <c r="AQ106" s="36"/>
      <c r="AR106" s="36"/>
      <c r="AS106" s="36"/>
      <c r="AT106" s="36"/>
      <c r="AU106" s="36"/>
      <c r="AV106" s="36"/>
      <c r="AW106" s="36"/>
      <c r="AX106" s="36"/>
      <c r="AY106" s="36"/>
      <c r="AZ106" s="36"/>
      <c r="BA106" s="36"/>
      <c r="BB106" s="36"/>
      <c r="BC106" s="36"/>
      <c r="BD106" s="36"/>
      <c r="BE106" s="36"/>
      <c r="BF106" s="104"/>
      <c r="BG106" s="104"/>
    </row>
    <row r="107" spans="2:59" s="30" customFormat="1" ht="45" x14ac:dyDescent="0.2">
      <c r="B107" s="166" t="s">
        <v>463</v>
      </c>
      <c r="C107" s="471" t="s">
        <v>298</v>
      </c>
      <c r="D107" s="472"/>
      <c r="E107" s="472"/>
      <c r="F107" s="472"/>
      <c r="G107" s="473"/>
      <c r="H107" s="81"/>
      <c r="I107" s="81"/>
      <c r="J107" s="32" t="s">
        <v>396</v>
      </c>
      <c r="K107" s="92" t="str">
        <f>IFERROR(IF(ISNUMBER(L107),L107,IF($C$121="Ei","",VLOOKUP(C107,Kalusto!$C$45:$U$84,19,FALSE)*VLOOKUP(C108,Muut!$D$40:$E$43,2,FALSE))),"--")</f>
        <v>--</v>
      </c>
      <c r="L107" s="39"/>
      <c r="M107" s="40" t="s">
        <v>188</v>
      </c>
      <c r="N107" s="40"/>
      <c r="O107" s="259"/>
      <c r="P107" s="143"/>
      <c r="Q107" s="101"/>
      <c r="R107" s="35"/>
      <c r="S107" s="35"/>
      <c r="T107" s="35"/>
      <c r="U107" s="35"/>
      <c r="V107" s="35"/>
      <c r="W107" s="35"/>
      <c r="X107" s="35"/>
      <c r="Y107" s="35"/>
      <c r="Z107" s="35"/>
      <c r="AA107" s="35"/>
      <c r="AB107" s="35"/>
      <c r="AC107" s="35"/>
      <c r="AD107" s="35"/>
      <c r="AE107" s="35"/>
      <c r="AF107" s="35"/>
      <c r="AG107" s="35"/>
      <c r="AH107" s="35"/>
      <c r="AI107" s="35"/>
      <c r="AJ107" s="35"/>
      <c r="AK107" s="104"/>
      <c r="AL107" s="35"/>
      <c r="AM107" s="35"/>
      <c r="AN107" s="36"/>
      <c r="AO107" s="36"/>
      <c r="AP107" s="36"/>
      <c r="AQ107" s="36"/>
      <c r="AR107" s="36"/>
      <c r="AS107" s="36"/>
      <c r="AT107" s="36"/>
      <c r="AU107" s="36"/>
      <c r="AV107" s="36"/>
      <c r="AW107" s="36"/>
      <c r="AX107" s="36"/>
      <c r="AY107" s="36"/>
      <c r="AZ107" s="36"/>
      <c r="BA107" s="36"/>
      <c r="BB107" s="36"/>
      <c r="BC107" s="36"/>
      <c r="BD107" s="36"/>
      <c r="BE107" s="36"/>
      <c r="BF107" s="104"/>
      <c r="BG107" s="104"/>
    </row>
    <row r="108" spans="2:59" s="30" customFormat="1" ht="15" x14ac:dyDescent="0.2">
      <c r="B108" s="182" t="s">
        <v>457</v>
      </c>
      <c r="C108" s="156" t="s">
        <v>309</v>
      </c>
      <c r="D108" s="33"/>
      <c r="E108" s="33"/>
      <c r="F108" s="33"/>
      <c r="G108" s="33"/>
      <c r="H108" s="57"/>
      <c r="J108" s="169"/>
      <c r="K108" s="169"/>
      <c r="L108" s="169"/>
      <c r="M108" s="40"/>
      <c r="N108" s="40"/>
      <c r="O108" s="259"/>
      <c r="Q108" s="45"/>
      <c r="R108" s="98"/>
      <c r="S108" s="98"/>
      <c r="T108" s="35"/>
      <c r="U108" s="35"/>
      <c r="V108" s="177"/>
      <c r="W108" s="177"/>
      <c r="X108" s="59"/>
      <c r="Y108" s="35"/>
      <c r="Z108" s="59"/>
      <c r="AA108" s="178"/>
      <c r="AB108" s="59"/>
      <c r="AC108" s="59"/>
      <c r="AD108" s="59"/>
      <c r="AE108" s="59"/>
      <c r="AF108" s="178"/>
      <c r="AG108" s="59"/>
      <c r="AH108" s="35"/>
      <c r="AI108" s="35"/>
      <c r="AJ108" s="35"/>
      <c r="AK108" s="104"/>
      <c r="AL108" s="35"/>
      <c r="AM108" s="35"/>
      <c r="AN108" s="36"/>
      <c r="AO108" s="36"/>
      <c r="AP108" s="36"/>
      <c r="AQ108" s="36"/>
      <c r="AR108" s="36"/>
      <c r="AS108" s="36"/>
      <c r="AT108" s="36"/>
      <c r="AU108" s="36"/>
      <c r="AV108" s="36"/>
      <c r="AW108" s="36"/>
      <c r="AX108" s="36"/>
      <c r="AY108" s="36"/>
      <c r="AZ108" s="36"/>
      <c r="BA108" s="36"/>
      <c r="BB108" s="36"/>
      <c r="BC108" s="36"/>
      <c r="BD108" s="36"/>
      <c r="BE108" s="36"/>
    </row>
    <row r="109" spans="2:59" s="30" customFormat="1" ht="15" x14ac:dyDescent="0.2">
      <c r="B109" s="44" t="s">
        <v>474</v>
      </c>
      <c r="C109" s="158"/>
      <c r="D109" s="81" t="s">
        <v>5</v>
      </c>
      <c r="G109" s="33"/>
      <c r="H109" s="81"/>
      <c r="I109" s="81"/>
      <c r="J109" s="32"/>
      <c r="K109" s="33"/>
      <c r="L109" s="33"/>
      <c r="M109" s="81"/>
      <c r="N109" s="81"/>
      <c r="O109" s="96"/>
      <c r="P109" s="146"/>
      <c r="Q109" s="101"/>
      <c r="R109" s="35"/>
      <c r="S109" s="35"/>
      <c r="T109" s="35"/>
      <c r="U109" s="35"/>
      <c r="V109" s="35"/>
      <c r="W109" s="35"/>
      <c r="X109" s="35"/>
      <c r="Y109" s="35"/>
      <c r="Z109" s="35"/>
      <c r="AA109" s="35"/>
      <c r="AB109" s="35"/>
      <c r="AC109" s="35"/>
      <c r="AD109" s="35"/>
      <c r="AE109" s="35"/>
      <c r="AF109" s="35"/>
      <c r="AG109" s="35"/>
      <c r="AH109" s="35"/>
      <c r="AI109" s="35"/>
      <c r="AJ109" s="35"/>
      <c r="AK109" s="104"/>
      <c r="AL109" s="35"/>
      <c r="AM109" s="35"/>
      <c r="AN109" s="36"/>
      <c r="AO109" s="36"/>
      <c r="AP109" s="36"/>
      <c r="AQ109" s="36"/>
      <c r="AR109" s="36"/>
      <c r="AS109" s="36"/>
      <c r="AT109" s="36"/>
      <c r="AU109" s="36"/>
      <c r="AV109" s="36"/>
      <c r="AW109" s="36"/>
      <c r="AX109" s="36"/>
      <c r="AY109" s="36"/>
      <c r="AZ109" s="36"/>
      <c r="BA109" s="36"/>
      <c r="BB109" s="36"/>
      <c r="BC109" s="36"/>
      <c r="BD109" s="36"/>
      <c r="BE109" s="36"/>
      <c r="BF109" s="104"/>
      <c r="BG109" s="104"/>
    </row>
    <row r="110" spans="2:59" s="30" customFormat="1" ht="15.75" x14ac:dyDescent="0.2">
      <c r="B110" s="91" t="str">
        <f>IF(LEFT(B88,6)="Hiekka","Hiekka",B88)</f>
        <v>Hiekka</v>
      </c>
      <c r="C110" s="33"/>
      <c r="D110" s="81"/>
      <c r="G110" s="33"/>
      <c r="H110" s="81"/>
      <c r="I110" s="81"/>
      <c r="J110" s="32"/>
      <c r="K110" s="37" t="s">
        <v>297</v>
      </c>
      <c r="L110" s="37" t="s">
        <v>185</v>
      </c>
      <c r="M110" s="83"/>
      <c r="N110" s="83"/>
      <c r="O110" s="260"/>
      <c r="P110" s="144"/>
      <c r="Q110" s="36"/>
      <c r="R110" s="35" t="s">
        <v>318</v>
      </c>
      <c r="S110" s="35"/>
      <c r="T110" s="35" t="s">
        <v>400</v>
      </c>
      <c r="U110" s="35" t="s">
        <v>399</v>
      </c>
      <c r="V110" s="35" t="s">
        <v>397</v>
      </c>
      <c r="W110" s="35" t="s">
        <v>398</v>
      </c>
      <c r="X110" s="35" t="s">
        <v>401</v>
      </c>
      <c r="Y110" s="35" t="s">
        <v>403</v>
      </c>
      <c r="Z110" s="35" t="s">
        <v>402</v>
      </c>
      <c r="AA110" s="35" t="s">
        <v>186</v>
      </c>
      <c r="AB110" s="35" t="s">
        <v>345</v>
      </c>
      <c r="AC110" s="35" t="s">
        <v>404</v>
      </c>
      <c r="AD110" s="35" t="s">
        <v>346</v>
      </c>
      <c r="AE110" s="35" t="s">
        <v>405</v>
      </c>
      <c r="AF110" s="35" t="s">
        <v>406</v>
      </c>
      <c r="AG110" s="35" t="s">
        <v>578</v>
      </c>
      <c r="AH110" s="35" t="s">
        <v>190</v>
      </c>
      <c r="AI110" s="35" t="s">
        <v>249</v>
      </c>
      <c r="AJ110" s="35" t="s">
        <v>191</v>
      </c>
      <c r="AK110" s="104"/>
      <c r="AL110" s="35"/>
      <c r="AM110" s="35"/>
      <c r="AN110" s="36"/>
      <c r="AO110" s="36"/>
      <c r="AP110" s="36"/>
      <c r="AQ110" s="36"/>
      <c r="AR110" s="36"/>
      <c r="AS110" s="36"/>
      <c r="AT110" s="36"/>
      <c r="AU110" s="36"/>
      <c r="AV110" s="36"/>
      <c r="AW110" s="36"/>
      <c r="AX110" s="36"/>
      <c r="AY110" s="36"/>
      <c r="AZ110" s="36"/>
      <c r="BA110" s="36"/>
      <c r="BB110" s="36"/>
      <c r="BC110" s="36"/>
      <c r="BD110" s="36"/>
      <c r="BE110" s="36"/>
      <c r="BF110" s="104"/>
      <c r="BG110" s="104"/>
    </row>
    <row r="111" spans="2:59" s="30" customFormat="1" ht="30" x14ac:dyDescent="0.2">
      <c r="B111" s="44" t="s">
        <v>475</v>
      </c>
      <c r="C111" s="108" t="str">
        <f>IF(ISNUMBER(C88),C88,"")</f>
        <v/>
      </c>
      <c r="D111" s="109" t="str">
        <f>D88</f>
        <v>m3ktr</v>
      </c>
      <c r="G111" s="108">
        <f>IF(ISNUMBER(G88),G88,"")</f>
        <v>1.4</v>
      </c>
      <c r="H111" s="81" t="str">
        <f>IF(D111="t","t/t","t/m3")</f>
        <v>t/m3</v>
      </c>
      <c r="I111" s="81"/>
      <c r="J111" s="169" t="s">
        <v>395</v>
      </c>
      <c r="K111" s="92" t="str">
        <f>IFERROR(IF(ISNUMBER(L111),L111,(VLOOKUP(C112,Kalusto!$C$45:$G$84,5,FALSE)*VLOOKUP(C113,Muut!$D$40:$E$43,2,FALSE))),"--")</f>
        <v>--</v>
      </c>
      <c r="L111" s="39"/>
      <c r="M111" s="40" t="s">
        <v>184</v>
      </c>
      <c r="N111" s="40"/>
      <c r="O111" s="259"/>
      <c r="P111" s="145"/>
      <c r="Q111" s="100"/>
      <c r="R111" s="48" t="str">
        <f>IF(AND(NOT(ISNUMBER(AB111)),NOT(ISNUMBER(AG111))),"",IF(ISNUMBER(AB111),AB111,0)+IF(ISNUMBER(AG111),AG111,0))</f>
        <v/>
      </c>
      <c r="S111" s="98" t="s">
        <v>160</v>
      </c>
      <c r="T111" s="46" t="str">
        <f>IFERROR(IF(ISNUMBER(L111),"Kohdetieto",VLOOKUP(C112,Kalusto!$C$45:$L$84,7,FALSE)),"--")</f>
        <v>--</v>
      </c>
      <c r="U111" s="46" t="str">
        <f>IFERROR(IF(ISNUMBER(L111),"Kohdetieto",VLOOKUP(C112,Kalusto!$C$45:$L$84,8,FALSE)),"--")</f>
        <v>--</v>
      </c>
      <c r="V111" s="47" t="str">
        <f>IFERROR(IF(ISNUMBER(L111),"Kohdetieto",VLOOKUP(C112,Kalusto!$C$45:$L$84,9,FALSE)),"--")</f>
        <v>--</v>
      </c>
      <c r="W111" s="47" t="str">
        <f>IFERROR(IF(ISNUMBER(L111),"Kohdetieto",VLOOKUP(C112,Kalusto!$C$45:$L$84,10,FALSE)),"--")</f>
        <v>--</v>
      </c>
      <c r="X111" s="48" t="str">
        <f>IF(ISBLANK(C111),"",IF(D111="t",C111,IF(ISNUMBER(C111*G111),C111*G111,"")))</f>
        <v/>
      </c>
      <c r="Y111" s="46" t="str">
        <f>IF(ISNUMBER(C114),C114,"")</f>
        <v/>
      </c>
      <c r="Z111" s="48" t="str">
        <f>IF(ISNUMBER(X111/(U111*V111)*Y111),X111/(U111*V111)*Y111,"")</f>
        <v/>
      </c>
      <c r="AA111" s="49" t="str">
        <f>IF(ISNUMBER(L111),L111,K111)</f>
        <v>--</v>
      </c>
      <c r="AB111" s="48" t="str">
        <f>IF(ISNUMBER(Y111*X111*K111),Y111*X111*K111,"")</f>
        <v/>
      </c>
      <c r="AC111" s="48" t="str">
        <f>IF(C121="Kyllä",Y111,"")</f>
        <v/>
      </c>
      <c r="AD111" s="48" t="str">
        <f>IF(C121="Kyllä",IF(ISNUMBER(X111/(U111*V111)),X111/(U111*V111),""),"")</f>
        <v/>
      </c>
      <c r="AE111" s="48" t="str">
        <f>IF(ISNUMBER(AD111*AC111),AD111*AC111,"")</f>
        <v/>
      </c>
      <c r="AF111" s="49" t="str">
        <f>IF(ISNUMBER(L112),L112,K112)</f>
        <v>--</v>
      </c>
      <c r="AG111" s="48" t="str">
        <f>IF(ISNUMBER(AC111*AD111*K112),AC111*AD111*K112,"")</f>
        <v/>
      </c>
      <c r="AH111" s="46">
        <f>IF(T111="Jakelukuorma-auto",0,IF(T111="Maansiirtoauto",4,IF(T111="Puoliperävaunu",6,8)))</f>
        <v>8</v>
      </c>
      <c r="AI111" s="46">
        <f>IF(AND(T111="Jakelukuorma-auto",U111=6),0,IF(AND(T111="Jakelukuorma-auto",U111=15),2,0))</f>
        <v>0</v>
      </c>
      <c r="AJ111" s="46">
        <f>IF(W111="maantieajo",0,1)</f>
        <v>1</v>
      </c>
      <c r="AK111" s="104"/>
      <c r="AL111" s="35"/>
      <c r="AM111" s="35"/>
      <c r="AN111" s="36"/>
      <c r="AO111" s="36"/>
      <c r="AP111" s="36"/>
      <c r="AQ111" s="36"/>
      <c r="AR111" s="36"/>
      <c r="AS111" s="36"/>
      <c r="AT111" s="36"/>
      <c r="AU111" s="36"/>
      <c r="AV111" s="36"/>
      <c r="AW111" s="36"/>
      <c r="AX111" s="36"/>
      <c r="AY111" s="36"/>
      <c r="AZ111" s="36"/>
      <c r="BA111" s="36"/>
      <c r="BB111" s="36"/>
      <c r="BC111" s="36"/>
      <c r="BD111" s="36"/>
      <c r="BE111" s="36"/>
      <c r="BF111" s="104"/>
      <c r="BG111" s="104"/>
    </row>
    <row r="112" spans="2:59" s="30" customFormat="1" ht="45" x14ac:dyDescent="0.2">
      <c r="B112" s="166" t="s">
        <v>463</v>
      </c>
      <c r="C112" s="471" t="s">
        <v>298</v>
      </c>
      <c r="D112" s="472"/>
      <c r="E112" s="472"/>
      <c r="F112" s="472"/>
      <c r="G112" s="473"/>
      <c r="H112" s="81"/>
      <c r="I112" s="81"/>
      <c r="J112" s="32" t="s">
        <v>396</v>
      </c>
      <c r="K112" s="92" t="str">
        <f>IFERROR(IF(ISNUMBER(L112),L112,IF($C$121="Ei","",VLOOKUP(C112,Kalusto!$C$45:$U$84,19,FALSE)*VLOOKUP(C113,Muut!$D$40:$E$43,2,FALSE))),"--")</f>
        <v>--</v>
      </c>
      <c r="L112" s="39"/>
      <c r="M112" s="40" t="s">
        <v>188</v>
      </c>
      <c r="N112" s="40"/>
      <c r="O112" s="259"/>
      <c r="P112" s="143"/>
      <c r="Q112" s="101"/>
      <c r="R112" s="35"/>
      <c r="S112" s="35"/>
      <c r="T112" s="35"/>
      <c r="U112" s="35"/>
      <c r="V112" s="35"/>
      <c r="W112" s="35"/>
      <c r="X112" s="35"/>
      <c r="Y112" s="35"/>
      <c r="Z112" s="35"/>
      <c r="AA112" s="35"/>
      <c r="AB112" s="35"/>
      <c r="AC112" s="35"/>
      <c r="AD112" s="35"/>
      <c r="AE112" s="35"/>
      <c r="AF112" s="35"/>
      <c r="AG112" s="35"/>
      <c r="AH112" s="35"/>
      <c r="AI112" s="35"/>
      <c r="AJ112" s="35"/>
      <c r="AK112" s="104"/>
      <c r="AL112" s="35"/>
      <c r="AM112" s="35"/>
      <c r="AN112" s="36"/>
      <c r="AO112" s="36"/>
      <c r="AP112" s="36"/>
      <c r="AQ112" s="36"/>
      <c r="AR112" s="36"/>
      <c r="AS112" s="36"/>
      <c r="AT112" s="36"/>
      <c r="AU112" s="36"/>
      <c r="AV112" s="36"/>
      <c r="AW112" s="36"/>
      <c r="AX112" s="36"/>
      <c r="AY112" s="36"/>
      <c r="AZ112" s="36"/>
      <c r="BA112" s="36"/>
      <c r="BB112" s="36"/>
      <c r="BC112" s="36"/>
      <c r="BD112" s="36"/>
      <c r="BE112" s="36"/>
      <c r="BF112" s="104"/>
      <c r="BG112" s="104"/>
    </row>
    <row r="113" spans="2:59" s="30" customFormat="1" ht="15" x14ac:dyDescent="0.2">
      <c r="B113" s="182" t="s">
        <v>457</v>
      </c>
      <c r="C113" s="156" t="s">
        <v>309</v>
      </c>
      <c r="D113" s="33"/>
      <c r="E113" s="33"/>
      <c r="F113" s="33"/>
      <c r="G113" s="33"/>
      <c r="H113" s="57"/>
      <c r="J113" s="169"/>
      <c r="K113" s="169"/>
      <c r="L113" s="169"/>
      <c r="M113" s="40"/>
      <c r="N113" s="40"/>
      <c r="O113" s="259"/>
      <c r="Q113" s="45"/>
      <c r="R113" s="98"/>
      <c r="S113" s="98"/>
      <c r="T113" s="35"/>
      <c r="U113" s="35"/>
      <c r="V113" s="177"/>
      <c r="W113" s="177"/>
      <c r="X113" s="59"/>
      <c r="Y113" s="35"/>
      <c r="Z113" s="59"/>
      <c r="AA113" s="178"/>
      <c r="AB113" s="59"/>
      <c r="AC113" s="59"/>
      <c r="AD113" s="59"/>
      <c r="AE113" s="59"/>
      <c r="AF113" s="178"/>
      <c r="AG113" s="59"/>
      <c r="AH113" s="35"/>
      <c r="AI113" s="35"/>
      <c r="AJ113" s="35"/>
      <c r="AK113" s="104"/>
      <c r="AL113" s="35"/>
      <c r="AM113" s="35"/>
      <c r="AN113" s="36"/>
      <c r="AO113" s="36"/>
      <c r="AP113" s="36"/>
      <c r="AQ113" s="36"/>
      <c r="AR113" s="36"/>
      <c r="AS113" s="36"/>
      <c r="AT113" s="36"/>
      <c r="AU113" s="36"/>
      <c r="AV113" s="36"/>
      <c r="AW113" s="36"/>
      <c r="AX113" s="36"/>
      <c r="AY113" s="36"/>
      <c r="AZ113" s="36"/>
      <c r="BA113" s="36"/>
      <c r="BB113" s="36"/>
      <c r="BC113" s="36"/>
      <c r="BD113" s="36"/>
      <c r="BE113" s="36"/>
    </row>
    <row r="114" spans="2:59" s="30" customFormat="1" ht="15" x14ac:dyDescent="0.2">
      <c r="B114" s="44" t="s">
        <v>474</v>
      </c>
      <c r="C114" s="158"/>
      <c r="D114" s="81" t="s">
        <v>5</v>
      </c>
      <c r="G114" s="33"/>
      <c r="H114" s="81"/>
      <c r="I114" s="81"/>
      <c r="J114" s="32"/>
      <c r="K114" s="33"/>
      <c r="L114" s="33"/>
      <c r="M114" s="81"/>
      <c r="N114" s="81"/>
      <c r="O114" s="96"/>
      <c r="P114" s="146"/>
      <c r="Q114" s="101"/>
      <c r="R114" s="35"/>
      <c r="S114" s="35"/>
      <c r="T114" s="35"/>
      <c r="U114" s="35"/>
      <c r="V114" s="35"/>
      <c r="W114" s="35"/>
      <c r="X114" s="35"/>
      <c r="Y114" s="35"/>
      <c r="Z114" s="35"/>
      <c r="AA114" s="35"/>
      <c r="AB114" s="35"/>
      <c r="AC114" s="35"/>
      <c r="AD114" s="35"/>
      <c r="AE114" s="35"/>
      <c r="AF114" s="35"/>
      <c r="AG114" s="35"/>
      <c r="AH114" s="35"/>
      <c r="AI114" s="35"/>
      <c r="AJ114" s="35"/>
      <c r="AK114" s="104"/>
      <c r="AL114" s="35"/>
      <c r="AM114" s="35"/>
      <c r="AN114" s="36"/>
      <c r="AO114" s="36"/>
      <c r="AP114" s="36"/>
      <c r="AQ114" s="36"/>
      <c r="AR114" s="36"/>
      <c r="AS114" s="36"/>
      <c r="AT114" s="36"/>
      <c r="AU114" s="36"/>
      <c r="AV114" s="36"/>
      <c r="AW114" s="36"/>
      <c r="AX114" s="36"/>
      <c r="AY114" s="36"/>
      <c r="AZ114" s="36"/>
      <c r="BA114" s="36"/>
      <c r="BB114" s="36"/>
      <c r="BC114" s="36"/>
      <c r="BD114" s="36"/>
      <c r="BE114" s="36"/>
      <c r="BF114" s="104"/>
      <c r="BG114" s="104"/>
    </row>
    <row r="115" spans="2:59" s="30" customFormat="1" ht="15.75" x14ac:dyDescent="0.2">
      <c r="B115" s="91" t="str">
        <f>B89</f>
        <v>Maa-aineksen 5 kuvaus (valitse yksikkö ja mahdollinen muuntokerroin tonneiksi)</v>
      </c>
      <c r="C115" s="33"/>
      <c r="D115" s="81"/>
      <c r="G115" s="33"/>
      <c r="H115" s="81"/>
      <c r="I115" s="81"/>
      <c r="J115" s="32"/>
      <c r="K115" s="37" t="s">
        <v>297</v>
      </c>
      <c r="L115" s="37" t="s">
        <v>185</v>
      </c>
      <c r="M115" s="83"/>
      <c r="N115" s="83"/>
      <c r="O115" s="260"/>
      <c r="P115" s="144"/>
      <c r="Q115" s="36"/>
      <c r="R115" s="35" t="s">
        <v>318</v>
      </c>
      <c r="S115" s="35"/>
      <c r="T115" s="35" t="s">
        <v>400</v>
      </c>
      <c r="U115" s="35" t="s">
        <v>399</v>
      </c>
      <c r="V115" s="35" t="s">
        <v>397</v>
      </c>
      <c r="W115" s="35" t="s">
        <v>398</v>
      </c>
      <c r="X115" s="35" t="s">
        <v>401</v>
      </c>
      <c r="Y115" s="35" t="s">
        <v>403</v>
      </c>
      <c r="Z115" s="35" t="s">
        <v>402</v>
      </c>
      <c r="AA115" s="35" t="s">
        <v>186</v>
      </c>
      <c r="AB115" s="35" t="s">
        <v>345</v>
      </c>
      <c r="AC115" s="35" t="s">
        <v>404</v>
      </c>
      <c r="AD115" s="35" t="s">
        <v>346</v>
      </c>
      <c r="AE115" s="35" t="s">
        <v>405</v>
      </c>
      <c r="AF115" s="35" t="s">
        <v>406</v>
      </c>
      <c r="AG115" s="35" t="s">
        <v>578</v>
      </c>
      <c r="AH115" s="35" t="s">
        <v>190</v>
      </c>
      <c r="AI115" s="35" t="s">
        <v>249</v>
      </c>
      <c r="AJ115" s="35" t="s">
        <v>191</v>
      </c>
      <c r="AK115" s="104"/>
      <c r="AL115" s="35"/>
      <c r="AM115" s="35"/>
      <c r="AN115" s="36"/>
      <c r="AO115" s="36"/>
      <c r="AP115" s="36"/>
      <c r="AQ115" s="36"/>
      <c r="AR115" s="36"/>
      <c r="AS115" s="36"/>
      <c r="AT115" s="36"/>
      <c r="AU115" s="36"/>
      <c r="AV115" s="36"/>
      <c r="AW115" s="36"/>
      <c r="AX115" s="36"/>
      <c r="AY115" s="36"/>
      <c r="AZ115" s="36"/>
      <c r="BA115" s="36"/>
      <c r="BB115" s="36"/>
      <c r="BC115" s="36"/>
      <c r="BD115" s="36"/>
      <c r="BE115" s="36"/>
      <c r="BF115" s="104"/>
      <c r="BG115" s="104"/>
    </row>
    <row r="116" spans="2:59" s="30" customFormat="1" ht="30" x14ac:dyDescent="0.2">
      <c r="B116" s="44" t="s">
        <v>477</v>
      </c>
      <c r="C116" s="108" t="str">
        <f>IF(ISNUMBER(C89),C89,"")</f>
        <v/>
      </c>
      <c r="D116" s="109" t="str">
        <f>D89</f>
        <v>m3ktr</v>
      </c>
      <c r="G116" s="108" t="str">
        <f>IF(ISNUMBER(G89),G89,"")</f>
        <v/>
      </c>
      <c r="H116" s="81" t="str">
        <f>IF(D116="t","t/t","t/m3")</f>
        <v>t/m3</v>
      </c>
      <c r="I116" s="81"/>
      <c r="J116" s="169" t="s">
        <v>395</v>
      </c>
      <c r="K116" s="92" t="str">
        <f>IFERROR(IF(ISNUMBER(L116),L116,(VLOOKUP(C117,Kalusto!$C$45:$G$84,5,FALSE)*VLOOKUP(C118,Muut!$D$40:$E$43,2,FALSE))),"--")</f>
        <v>--</v>
      </c>
      <c r="L116" s="39"/>
      <c r="M116" s="40" t="s">
        <v>184</v>
      </c>
      <c r="N116" s="40"/>
      <c r="O116" s="259"/>
      <c r="P116" s="145"/>
      <c r="Q116" s="100"/>
      <c r="R116" s="48" t="str">
        <f>IF(AND(NOT(ISNUMBER(AB116)),NOT(ISNUMBER(AG116))),"",IF(ISNUMBER(AB116),AB116,0)+IF(ISNUMBER(AG116),AG116,0))</f>
        <v/>
      </c>
      <c r="S116" s="98" t="s">
        <v>160</v>
      </c>
      <c r="T116" s="46" t="str">
        <f>IFERROR(IF(ISNUMBER(L116),"Kohdetieto",VLOOKUP(C117,Kalusto!$C$45:$L$84,7,FALSE)),"--")</f>
        <v>--</v>
      </c>
      <c r="U116" s="46" t="str">
        <f>IFERROR(IF(ISNUMBER(L116),"Kohdetieto",VLOOKUP(C117,Kalusto!$C$45:$L$84,8,FALSE)),"--")</f>
        <v>--</v>
      </c>
      <c r="V116" s="47" t="str">
        <f>IFERROR(IF(ISNUMBER(L116),"Kohdetieto",VLOOKUP(C117,Kalusto!$C$45:$L$84,9,FALSE)),"--")</f>
        <v>--</v>
      </c>
      <c r="W116" s="47" t="str">
        <f>IFERROR(IF(ISNUMBER(L116),"Kohdetieto",VLOOKUP(C117,Kalusto!$C$45:$L$84,10,FALSE)),"--")</f>
        <v>--</v>
      </c>
      <c r="X116" s="48" t="str">
        <f>IF(ISBLANK(C116),"",IF(D116="t",C116,IF(ISNUMBER(C116*G116),C116*G116,"")))</f>
        <v/>
      </c>
      <c r="Y116" s="46" t="str">
        <f>IF(ISNUMBER(C119),C119,"")</f>
        <v/>
      </c>
      <c r="Z116" s="48" t="str">
        <f>IF(ISNUMBER(X116/(U116*V116)*Y116),X116/(U116*V116)*Y116,"")</f>
        <v/>
      </c>
      <c r="AA116" s="49" t="str">
        <f>IF(ISNUMBER(L116),L116,K116)</f>
        <v>--</v>
      </c>
      <c r="AB116" s="48" t="str">
        <f>IF(ISNUMBER(Y116*X116*K116),Y116*X116*K116,"")</f>
        <v/>
      </c>
      <c r="AC116" s="48" t="str">
        <f>IF(C121="Kyllä",Y116,"")</f>
        <v/>
      </c>
      <c r="AD116" s="48" t="str">
        <f>IF(C121="Kyllä",IF(ISNUMBER(X116/(U116*V116)),X116/(U116*V116),""),"")</f>
        <v/>
      </c>
      <c r="AE116" s="48" t="str">
        <f>IF(ISNUMBER(AD116*AC116),AD116*AC116,"")</f>
        <v/>
      </c>
      <c r="AF116" s="49" t="str">
        <f>IF(ISNUMBER(L117),L117,K117)</f>
        <v>--</v>
      </c>
      <c r="AG116" s="48" t="str">
        <f>IF(ISNUMBER(AC116*AD116*K117),AC116*AD116*K117,"")</f>
        <v/>
      </c>
      <c r="AH116" s="46">
        <f>IF(T116="Jakelukuorma-auto",0,IF(T116="Maansiirtoauto",4,IF(T116="Puoliperävaunu",6,8)))</f>
        <v>8</v>
      </c>
      <c r="AI116" s="46">
        <f>IF(AND(T116="Jakelukuorma-auto",U116=6),0,IF(AND(T116="Jakelukuorma-auto",U116=15),2,0))</f>
        <v>0</v>
      </c>
      <c r="AJ116" s="46">
        <f>IF(W116="maantieajo",0,1)</f>
        <v>1</v>
      </c>
      <c r="AK116" s="104"/>
      <c r="AL116" s="35"/>
      <c r="AM116" s="35"/>
      <c r="AN116" s="36"/>
      <c r="AO116" s="36"/>
      <c r="AP116" s="36"/>
      <c r="AQ116" s="36"/>
      <c r="AR116" s="36"/>
      <c r="AS116" s="36"/>
      <c r="AT116" s="36"/>
      <c r="AU116" s="36"/>
      <c r="AV116" s="36"/>
      <c r="AW116" s="36"/>
      <c r="AX116" s="36"/>
      <c r="AY116" s="36"/>
      <c r="AZ116" s="36"/>
      <c r="BA116" s="36"/>
      <c r="BB116" s="36"/>
      <c r="BC116" s="36"/>
      <c r="BD116" s="36"/>
      <c r="BE116" s="36"/>
      <c r="BF116" s="104"/>
      <c r="BG116" s="104"/>
    </row>
    <row r="117" spans="2:59" s="30" customFormat="1" ht="45" x14ac:dyDescent="0.2">
      <c r="B117" s="166" t="s">
        <v>463</v>
      </c>
      <c r="C117" s="471" t="s">
        <v>298</v>
      </c>
      <c r="D117" s="472"/>
      <c r="E117" s="472"/>
      <c r="F117" s="472"/>
      <c r="G117" s="473"/>
      <c r="H117" s="81"/>
      <c r="I117" s="81"/>
      <c r="J117" s="32" t="s">
        <v>396</v>
      </c>
      <c r="K117" s="92" t="str">
        <f>IFERROR(IF(ISNUMBER(L117),L117,IF($C$121="Ei","",VLOOKUP(C117,Kalusto!$C$45:$U$84,19,FALSE)*VLOOKUP(C118,Muut!$D$40:$E$43,2,FALSE))),"--")</f>
        <v>--</v>
      </c>
      <c r="L117" s="39"/>
      <c r="M117" s="40" t="s">
        <v>188</v>
      </c>
      <c r="N117" s="40"/>
      <c r="O117" s="259"/>
      <c r="P117" s="143"/>
      <c r="Q117" s="101"/>
      <c r="R117" s="95"/>
      <c r="S117" s="35"/>
      <c r="T117" s="35"/>
      <c r="U117" s="35"/>
      <c r="V117" s="35"/>
      <c r="W117" s="35"/>
      <c r="X117" s="35"/>
      <c r="Y117" s="35"/>
      <c r="Z117" s="35"/>
      <c r="AA117" s="35"/>
      <c r="AB117" s="35"/>
      <c r="AC117" s="35"/>
      <c r="AD117" s="35"/>
      <c r="AE117" s="35"/>
      <c r="AF117" s="35"/>
      <c r="AG117" s="35"/>
      <c r="AH117" s="35"/>
      <c r="AI117" s="35"/>
      <c r="AJ117" s="35"/>
      <c r="AK117" s="35"/>
      <c r="AL117" s="35"/>
      <c r="AM117" s="35"/>
      <c r="AN117" s="36"/>
      <c r="AO117" s="36"/>
      <c r="AP117" s="36"/>
      <c r="AQ117" s="36"/>
      <c r="AR117" s="36"/>
      <c r="AS117" s="36"/>
      <c r="AT117" s="36"/>
      <c r="AU117" s="36"/>
      <c r="AV117" s="36"/>
      <c r="AW117" s="36"/>
      <c r="AX117" s="36"/>
      <c r="AY117" s="36"/>
      <c r="AZ117" s="36"/>
      <c r="BA117" s="36"/>
      <c r="BB117" s="36"/>
      <c r="BC117" s="36"/>
      <c r="BD117" s="36"/>
      <c r="BE117" s="36"/>
      <c r="BF117" s="104"/>
      <c r="BG117" s="104"/>
    </row>
    <row r="118" spans="2:59" s="30" customFormat="1" ht="15" x14ac:dyDescent="0.2">
      <c r="B118" s="182" t="s">
        <v>457</v>
      </c>
      <c r="C118" s="156" t="s">
        <v>309</v>
      </c>
      <c r="D118" s="33"/>
      <c r="E118" s="33"/>
      <c r="F118" s="33"/>
      <c r="G118" s="33"/>
      <c r="H118" s="57"/>
      <c r="J118" s="169"/>
      <c r="K118" s="169"/>
      <c r="L118" s="169"/>
      <c r="M118" s="40"/>
      <c r="N118" s="40"/>
      <c r="O118" s="259"/>
      <c r="Q118" s="45"/>
      <c r="R118" s="98"/>
      <c r="S118" s="98"/>
      <c r="T118" s="35"/>
      <c r="U118" s="35"/>
      <c r="V118" s="177"/>
      <c r="W118" s="177"/>
      <c r="X118" s="59"/>
      <c r="Y118" s="35"/>
      <c r="Z118" s="59"/>
      <c r="AA118" s="178"/>
      <c r="AB118" s="59"/>
      <c r="AC118" s="59"/>
      <c r="AD118" s="59"/>
      <c r="AE118" s="59"/>
      <c r="AF118" s="178"/>
      <c r="AG118" s="59"/>
      <c r="AH118" s="35"/>
      <c r="AI118" s="35"/>
      <c r="AJ118" s="35"/>
      <c r="AK118" s="104"/>
      <c r="AL118" s="35"/>
      <c r="AM118" s="35"/>
      <c r="AN118" s="36"/>
      <c r="AO118" s="36"/>
      <c r="AP118" s="36"/>
      <c r="AQ118" s="36"/>
      <c r="AR118" s="36"/>
      <c r="AS118" s="36"/>
      <c r="AT118" s="36"/>
      <c r="AU118" s="36"/>
      <c r="AV118" s="36"/>
      <c r="AW118" s="36"/>
      <c r="AX118" s="36"/>
      <c r="AY118" s="36"/>
      <c r="AZ118" s="36"/>
      <c r="BA118" s="36"/>
      <c r="BB118" s="36"/>
      <c r="BC118" s="36"/>
      <c r="BD118" s="36"/>
      <c r="BE118" s="36"/>
    </row>
    <row r="119" spans="2:59" s="30" customFormat="1" ht="15" x14ac:dyDescent="0.2">
      <c r="B119" s="44" t="s">
        <v>474</v>
      </c>
      <c r="C119" s="158"/>
      <c r="D119" s="81" t="s">
        <v>5</v>
      </c>
      <c r="G119" s="33"/>
      <c r="H119" s="81"/>
      <c r="I119" s="81"/>
      <c r="J119" s="32"/>
      <c r="K119" s="33"/>
      <c r="L119" s="33"/>
      <c r="M119" s="81"/>
      <c r="N119" s="81"/>
      <c r="O119" s="96"/>
      <c r="P119" s="146"/>
      <c r="Q119" s="101"/>
      <c r="R119" s="95"/>
      <c r="S119" s="35"/>
      <c r="T119" s="35"/>
      <c r="U119" s="35"/>
      <c r="V119" s="35"/>
      <c r="W119" s="35"/>
      <c r="X119" s="35"/>
      <c r="Y119" s="35"/>
      <c r="Z119" s="35"/>
      <c r="AA119" s="35"/>
      <c r="AB119" s="35"/>
      <c r="AC119" s="35"/>
      <c r="AD119" s="35"/>
      <c r="AE119" s="35"/>
      <c r="AF119" s="35"/>
      <c r="AG119" s="35"/>
      <c r="AH119" s="35"/>
      <c r="AI119" s="35"/>
      <c r="AJ119" s="35"/>
      <c r="AK119" s="35"/>
      <c r="AL119" s="35"/>
      <c r="AM119" s="35"/>
      <c r="AN119" s="36"/>
      <c r="AO119" s="36"/>
      <c r="AP119" s="36"/>
      <c r="AQ119" s="36"/>
      <c r="AR119" s="36"/>
      <c r="AS119" s="36"/>
      <c r="AT119" s="36"/>
      <c r="AU119" s="36"/>
      <c r="AV119" s="36"/>
      <c r="AW119" s="36"/>
      <c r="AX119" s="36"/>
      <c r="AY119" s="36"/>
      <c r="AZ119" s="36"/>
      <c r="BA119" s="36"/>
      <c r="BB119" s="36"/>
      <c r="BC119" s="36"/>
      <c r="BD119" s="36"/>
      <c r="BE119" s="36"/>
      <c r="BF119" s="104"/>
      <c r="BG119" s="104"/>
    </row>
    <row r="120" spans="2:59" s="30" customFormat="1" ht="15" x14ac:dyDescent="0.2">
      <c r="C120" s="33"/>
      <c r="D120" s="81"/>
      <c r="G120" s="33"/>
      <c r="H120" s="81"/>
      <c r="I120" s="81"/>
      <c r="J120" s="32"/>
      <c r="K120" s="33"/>
      <c r="L120" s="33"/>
      <c r="M120" s="81"/>
      <c r="N120" s="81"/>
      <c r="O120" s="96"/>
      <c r="P120" s="67"/>
      <c r="Q120" s="36"/>
      <c r="R120" s="95"/>
      <c r="S120" s="35"/>
      <c r="T120" s="35"/>
      <c r="U120" s="35"/>
      <c r="V120" s="35"/>
      <c r="W120" s="35"/>
      <c r="X120" s="35"/>
      <c r="Y120" s="35"/>
      <c r="Z120" s="35"/>
      <c r="AA120" s="35"/>
      <c r="AB120" s="35"/>
      <c r="AC120" s="35"/>
      <c r="AD120" s="35"/>
      <c r="AE120" s="35"/>
      <c r="AF120" s="35"/>
      <c r="AG120" s="35"/>
      <c r="AH120" s="35"/>
      <c r="AI120" s="35"/>
      <c r="AJ120" s="35"/>
      <c r="AK120" s="35"/>
      <c r="AL120" s="35"/>
      <c r="AM120" s="35"/>
      <c r="AN120" s="36"/>
      <c r="AO120" s="36"/>
      <c r="AP120" s="36"/>
      <c r="AQ120" s="36"/>
      <c r="AR120" s="36"/>
      <c r="AS120" s="36"/>
      <c r="AT120" s="36"/>
      <c r="AU120" s="36"/>
      <c r="AV120" s="36"/>
      <c r="AW120" s="36"/>
      <c r="AX120" s="36"/>
      <c r="AY120" s="36"/>
      <c r="AZ120" s="36"/>
      <c r="BA120" s="36"/>
      <c r="BB120" s="36"/>
      <c r="BC120" s="36"/>
      <c r="BD120" s="36"/>
      <c r="BE120" s="36"/>
      <c r="BF120" s="104"/>
      <c r="BG120" s="104"/>
    </row>
    <row r="121" spans="2:59" s="30" customFormat="1" ht="60" x14ac:dyDescent="0.2">
      <c r="B121" s="76" t="s">
        <v>606</v>
      </c>
      <c r="C121" s="471" t="s">
        <v>6</v>
      </c>
      <c r="D121" s="473"/>
      <c r="G121" s="33"/>
      <c r="H121" s="81"/>
      <c r="J121" s="32"/>
      <c r="K121" s="33"/>
      <c r="L121" s="33"/>
      <c r="M121" s="81"/>
      <c r="N121" s="81"/>
      <c r="O121" s="96"/>
      <c r="P121" s="67"/>
      <c r="Q121" s="36"/>
      <c r="R121" s="95"/>
      <c r="S121" s="35"/>
      <c r="T121" s="35"/>
      <c r="U121" s="35"/>
      <c r="V121" s="35"/>
      <c r="W121" s="35"/>
      <c r="X121" s="35"/>
      <c r="Y121" s="35"/>
      <c r="Z121" s="35"/>
      <c r="AA121" s="35"/>
      <c r="AB121" s="35"/>
      <c r="AC121" s="35"/>
      <c r="AD121" s="35"/>
      <c r="AE121" s="35"/>
      <c r="AF121" s="35"/>
      <c r="AG121" s="35"/>
      <c r="AH121" s="35"/>
      <c r="AI121" s="35"/>
      <c r="AJ121" s="35"/>
      <c r="AK121" s="35"/>
      <c r="AL121" s="35"/>
      <c r="AM121" s="35"/>
      <c r="AN121" s="36"/>
      <c r="AO121" s="36"/>
      <c r="AP121" s="36"/>
      <c r="AQ121" s="36"/>
      <c r="AR121" s="36"/>
      <c r="AS121" s="36"/>
      <c r="AT121" s="36"/>
      <c r="AU121" s="36"/>
      <c r="AV121" s="36"/>
      <c r="AW121" s="36"/>
      <c r="AX121" s="36"/>
      <c r="AY121" s="36"/>
      <c r="AZ121" s="36"/>
      <c r="BA121" s="36"/>
      <c r="BB121" s="36"/>
      <c r="BC121" s="36"/>
      <c r="BD121" s="36"/>
      <c r="BE121" s="36"/>
      <c r="BF121" s="104"/>
      <c r="BG121" s="104"/>
    </row>
    <row r="122" spans="2:59" s="30" customFormat="1" ht="15" x14ac:dyDescent="0.2">
      <c r="C122" s="33"/>
      <c r="D122" s="81"/>
      <c r="G122" s="33"/>
      <c r="H122" s="81"/>
      <c r="J122" s="32"/>
      <c r="K122" s="33"/>
      <c r="L122" s="33"/>
      <c r="M122" s="81"/>
      <c r="N122" s="81"/>
      <c r="O122" s="81"/>
      <c r="Q122" s="34"/>
      <c r="R122" s="95"/>
      <c r="S122" s="35"/>
      <c r="T122" s="35"/>
      <c r="U122" s="35"/>
      <c r="V122" s="35"/>
      <c r="W122" s="35"/>
      <c r="X122" s="35"/>
      <c r="Y122" s="35"/>
      <c r="Z122" s="35"/>
      <c r="AA122" s="35"/>
      <c r="AB122" s="35"/>
      <c r="AC122" s="35"/>
      <c r="AD122" s="35"/>
      <c r="AE122" s="35"/>
      <c r="AF122" s="35"/>
      <c r="AG122" s="35"/>
      <c r="AH122" s="35"/>
      <c r="AI122" s="35"/>
      <c r="AJ122" s="35"/>
      <c r="AK122" s="35"/>
      <c r="AL122" s="35"/>
      <c r="AM122" s="35"/>
      <c r="AN122" s="36"/>
      <c r="AO122" s="36"/>
      <c r="AP122" s="36"/>
      <c r="AQ122" s="36"/>
      <c r="AR122" s="36"/>
      <c r="AS122" s="36"/>
      <c r="AT122" s="36"/>
      <c r="AU122" s="36"/>
      <c r="AV122" s="36"/>
      <c r="AW122" s="36"/>
      <c r="AX122" s="36"/>
      <c r="AY122" s="36"/>
      <c r="AZ122" s="36"/>
      <c r="BA122" s="36"/>
      <c r="BB122" s="36"/>
      <c r="BC122" s="36"/>
      <c r="BD122" s="36"/>
      <c r="BE122" s="36"/>
    </row>
    <row r="123" spans="2:59" s="289" customFormat="1" ht="18" x14ac:dyDescent="0.2">
      <c r="B123" s="286" t="s">
        <v>731</v>
      </c>
      <c r="C123" s="287"/>
      <c r="D123" s="288"/>
      <c r="G123" s="287"/>
      <c r="H123" s="288"/>
      <c r="K123" s="287"/>
      <c r="L123" s="287"/>
      <c r="M123" s="288"/>
      <c r="N123" s="288"/>
      <c r="O123" s="291"/>
      <c r="P123" s="311"/>
      <c r="Q123" s="295"/>
      <c r="S123" s="294"/>
      <c r="T123" s="294"/>
      <c r="U123" s="294"/>
      <c r="V123" s="294"/>
      <c r="W123" s="294"/>
      <c r="X123" s="294"/>
      <c r="Y123" s="294"/>
      <c r="Z123" s="294"/>
      <c r="AA123" s="294"/>
      <c r="AB123" s="294"/>
      <c r="AC123" s="294"/>
      <c r="AD123" s="294"/>
      <c r="AE123" s="294"/>
      <c r="AF123" s="294"/>
      <c r="AG123" s="294"/>
      <c r="AH123" s="294"/>
      <c r="AI123" s="294"/>
      <c r="AJ123" s="294"/>
      <c r="AK123" s="294"/>
      <c r="AL123" s="294"/>
      <c r="AM123" s="294"/>
      <c r="AN123" s="295"/>
      <c r="AO123" s="295"/>
      <c r="AP123" s="295"/>
      <c r="AQ123" s="295"/>
      <c r="AR123" s="295"/>
      <c r="AS123" s="295"/>
      <c r="AT123" s="295"/>
      <c r="AU123" s="295"/>
      <c r="AV123" s="295"/>
      <c r="AW123" s="295"/>
      <c r="AX123" s="295"/>
      <c r="AY123" s="295"/>
      <c r="AZ123" s="295"/>
      <c r="BA123" s="295"/>
      <c r="BB123" s="295"/>
      <c r="BC123" s="295"/>
      <c r="BD123" s="295"/>
      <c r="BE123" s="295"/>
    </row>
    <row r="124" spans="2:59" s="30" customFormat="1" ht="15" x14ac:dyDescent="0.2">
      <c r="C124" s="33"/>
      <c r="D124" s="81"/>
      <c r="G124" s="33"/>
      <c r="H124" s="81"/>
      <c r="J124" s="32"/>
      <c r="K124" s="33"/>
      <c r="L124" s="33"/>
      <c r="M124" s="81"/>
      <c r="N124" s="81"/>
      <c r="O124" s="81"/>
      <c r="Q124" s="34"/>
      <c r="R124" s="95"/>
      <c r="S124" s="35"/>
      <c r="T124" s="35"/>
      <c r="U124" s="35"/>
      <c r="V124" s="35"/>
      <c r="W124" s="35"/>
      <c r="X124" s="35"/>
      <c r="Y124" s="35"/>
      <c r="Z124" s="35"/>
      <c r="AA124" s="35"/>
      <c r="AB124" s="35"/>
      <c r="AC124" s="35"/>
      <c r="AD124" s="35"/>
      <c r="AE124" s="35"/>
      <c r="AF124" s="35"/>
      <c r="AG124" s="35"/>
      <c r="AH124" s="35"/>
      <c r="AI124" s="35"/>
      <c r="AJ124" s="35"/>
      <c r="AK124" s="35"/>
      <c r="AL124" s="35"/>
      <c r="AM124" s="35"/>
      <c r="AN124" s="36"/>
      <c r="AO124" s="36"/>
      <c r="AP124" s="36"/>
      <c r="AQ124" s="36"/>
      <c r="AR124" s="36"/>
      <c r="AS124" s="36"/>
      <c r="AT124" s="36"/>
      <c r="AU124" s="36"/>
      <c r="AV124" s="36"/>
      <c r="AW124" s="36"/>
      <c r="AX124" s="36"/>
      <c r="AY124" s="36"/>
      <c r="AZ124" s="36"/>
      <c r="BA124" s="36"/>
      <c r="BB124" s="36"/>
      <c r="BC124" s="36"/>
      <c r="BD124" s="36"/>
      <c r="BE124" s="36"/>
    </row>
    <row r="125" spans="2:59" s="30" customFormat="1" ht="15" x14ac:dyDescent="0.2">
      <c r="B125" s="160" t="s">
        <v>303</v>
      </c>
      <c r="C125" s="33"/>
      <c r="D125" s="81"/>
      <c r="G125" s="33"/>
      <c r="H125" s="81"/>
      <c r="K125" s="37"/>
      <c r="L125" s="37"/>
      <c r="M125" s="81"/>
      <c r="N125" s="81"/>
      <c r="O125" s="249" t="s">
        <v>584</v>
      </c>
      <c r="Q125" s="34"/>
      <c r="R125" s="95"/>
      <c r="S125" s="35"/>
      <c r="T125" s="35"/>
      <c r="U125" s="35"/>
      <c r="V125" s="35"/>
      <c r="W125" s="35"/>
      <c r="X125" s="35"/>
      <c r="Y125" s="35"/>
      <c r="Z125" s="35"/>
      <c r="AA125" s="35"/>
      <c r="AB125" s="35"/>
      <c r="AC125" s="35"/>
      <c r="AD125" s="35"/>
      <c r="AE125" s="35"/>
      <c r="AF125" s="35"/>
      <c r="AG125" s="35"/>
      <c r="AH125" s="35"/>
      <c r="AI125" s="35"/>
      <c r="AJ125" s="35"/>
      <c r="AK125" s="35"/>
      <c r="AL125" s="35"/>
      <c r="AM125" s="35"/>
      <c r="AN125" s="36"/>
      <c r="AO125" s="36"/>
      <c r="AP125" s="36"/>
      <c r="AQ125" s="36"/>
      <c r="AR125" s="36"/>
      <c r="AS125" s="36"/>
      <c r="AT125" s="36"/>
      <c r="AU125" s="36"/>
      <c r="AV125" s="36"/>
      <c r="AW125" s="36"/>
      <c r="AX125" s="36"/>
      <c r="AY125" s="36"/>
      <c r="AZ125" s="36"/>
      <c r="BA125" s="36"/>
      <c r="BB125" s="36"/>
      <c r="BC125" s="36"/>
      <c r="BD125" s="36"/>
      <c r="BE125" s="36"/>
    </row>
    <row r="126" spans="2:59" s="30" customFormat="1" ht="60" x14ac:dyDescent="0.2">
      <c r="B126" s="76" t="s">
        <v>694</v>
      </c>
      <c r="C126" s="474" t="s">
        <v>110</v>
      </c>
      <c r="D126" s="474"/>
      <c r="E126" s="33"/>
      <c r="G126" s="37" t="str">
        <f>IF(C126="Muu tuote tai materiaali","Muun tuotteen tai materiaalin määrän yksikkö","")</f>
        <v/>
      </c>
      <c r="H126" s="81"/>
      <c r="K126" s="37" t="s">
        <v>297</v>
      </c>
      <c r="L126" s="37" t="s">
        <v>185</v>
      </c>
      <c r="M126" s="81" t="s">
        <v>287</v>
      </c>
      <c r="N126" s="81"/>
      <c r="O126" s="250"/>
      <c r="Q126" s="34"/>
      <c r="R126" s="35" t="s">
        <v>318</v>
      </c>
      <c r="S126" s="35"/>
      <c r="T126" s="104"/>
      <c r="U126" s="35"/>
      <c r="V126" s="35"/>
      <c r="W126" s="35"/>
      <c r="X126" s="35"/>
      <c r="Y126" s="35"/>
      <c r="Z126" s="35"/>
      <c r="AA126" s="35"/>
      <c r="AB126" s="35"/>
      <c r="AC126" s="35"/>
      <c r="AD126" s="35"/>
      <c r="AE126" s="35"/>
      <c r="AF126" s="35"/>
      <c r="AG126" s="35"/>
      <c r="AH126" s="35"/>
      <c r="AI126" s="35"/>
      <c r="AJ126" s="35"/>
      <c r="AK126" s="35"/>
      <c r="AL126" s="35"/>
      <c r="AM126" s="35"/>
      <c r="AN126" s="36"/>
      <c r="AO126" s="36"/>
      <c r="AP126" s="36"/>
      <c r="AQ126" s="36"/>
      <c r="AR126" s="36"/>
      <c r="AS126" s="36"/>
      <c r="AT126" s="36"/>
      <c r="AU126" s="36"/>
      <c r="AV126" s="36"/>
      <c r="AW126" s="36"/>
      <c r="AX126" s="36"/>
      <c r="AY126" s="36"/>
      <c r="AZ126" s="36"/>
      <c r="BA126" s="36"/>
      <c r="BB126" s="36"/>
      <c r="BC126" s="36"/>
      <c r="BD126" s="36"/>
      <c r="BE126" s="36"/>
    </row>
    <row r="127" spans="2:59" s="30" customFormat="1" ht="15" x14ac:dyDescent="0.2">
      <c r="B127" s="52" t="s">
        <v>331</v>
      </c>
      <c r="C127" s="158"/>
      <c r="D127" s="81" t="str">
        <f>IFERROR(VLOOKUP(C126,Materiaalit!$C$87:$D$104,2,FALSE),"Yksikkö")</f>
        <v>Yksikkö</v>
      </c>
      <c r="E127" s="33"/>
      <c r="F127" s="33"/>
      <c r="G127" s="41"/>
      <c r="H127" s="81"/>
      <c r="J127" s="32" t="s">
        <v>332</v>
      </c>
      <c r="K127" s="92" t="str">
        <f>IFERROR(IF(ISNUMBER(L127),L127,VLOOKUP(C126,Materiaalit!$C$87:$G$104,5,FALSE)),"--")</f>
        <v>--</v>
      </c>
      <c r="L127" s="39"/>
      <c r="M127" s="396" t="str">
        <f>IF(D127="Yksikkö","--",IF(AND(D127="Oma yksikkö",ISBLANK(G127)),"Puuttuu",IF(AND(D127="Oma yksikkö",NOT(ISBLANK(G127))),"kgCO2e/" &amp; G127,"kgCO2e/" &amp; D127)))</f>
        <v>--</v>
      </c>
      <c r="N127" s="41"/>
      <c r="O127" s="261"/>
      <c r="Q127" s="34"/>
      <c r="R127" s="48" t="str">
        <f>IF(NOT(AND(ISNUMBER(K127),ISNUMBER(C127))),"",C127*K127)</f>
        <v/>
      </c>
      <c r="S127" s="98" t="s">
        <v>160</v>
      </c>
      <c r="T127" s="104"/>
      <c r="U127" s="35"/>
      <c r="V127" s="35"/>
      <c r="W127" s="35"/>
      <c r="X127" s="35"/>
      <c r="Y127" s="35"/>
      <c r="Z127" s="35"/>
      <c r="AA127" s="35"/>
      <c r="AB127" s="35"/>
      <c r="AC127" s="35"/>
      <c r="AD127" s="35"/>
      <c r="AE127" s="35"/>
      <c r="AF127" s="35"/>
      <c r="AG127" s="35"/>
      <c r="AH127" s="35"/>
      <c r="AI127" s="35"/>
      <c r="AJ127" s="35"/>
      <c r="AK127" s="35"/>
      <c r="AL127" s="35"/>
      <c r="AM127" s="35"/>
      <c r="AN127" s="36"/>
      <c r="AO127" s="36"/>
      <c r="AP127" s="36"/>
      <c r="AQ127" s="36"/>
      <c r="AR127" s="36"/>
      <c r="AS127" s="36"/>
      <c r="AT127" s="36"/>
      <c r="AU127" s="36"/>
      <c r="AV127" s="36"/>
      <c r="AW127" s="36"/>
      <c r="AX127" s="36"/>
      <c r="AY127" s="36"/>
      <c r="AZ127" s="36"/>
      <c r="BA127" s="36"/>
      <c r="BB127" s="36"/>
      <c r="BC127" s="36"/>
      <c r="BD127" s="36"/>
      <c r="BE127" s="36"/>
    </row>
    <row r="128" spans="2:59" s="30" customFormat="1" ht="15" x14ac:dyDescent="0.2">
      <c r="B128" s="160" t="s">
        <v>304</v>
      </c>
      <c r="C128" s="33"/>
      <c r="D128" s="81"/>
      <c r="E128" s="33"/>
      <c r="G128" s="33"/>
      <c r="H128" s="81"/>
      <c r="J128" s="32"/>
      <c r="K128" s="37"/>
      <c r="L128" s="37"/>
      <c r="M128" s="37"/>
      <c r="N128" s="37"/>
      <c r="O128" s="262"/>
      <c r="Q128" s="34"/>
      <c r="R128" s="59"/>
      <c r="S128" s="35"/>
      <c r="T128" s="104"/>
      <c r="U128" s="35"/>
      <c r="V128" s="35"/>
      <c r="W128" s="35"/>
      <c r="X128" s="35"/>
      <c r="Y128" s="35"/>
      <c r="Z128" s="35"/>
      <c r="AA128" s="35"/>
      <c r="AB128" s="35"/>
      <c r="AC128" s="35"/>
      <c r="AD128" s="35"/>
      <c r="AE128" s="35"/>
      <c r="AF128" s="35"/>
      <c r="AG128" s="35"/>
      <c r="AH128" s="35"/>
      <c r="AI128" s="35"/>
      <c r="AJ128" s="35"/>
      <c r="AK128" s="35"/>
      <c r="AL128" s="35"/>
      <c r="AM128" s="35"/>
      <c r="AN128" s="36"/>
      <c r="AO128" s="36"/>
      <c r="AP128" s="36"/>
      <c r="AQ128" s="36"/>
      <c r="AR128" s="36"/>
      <c r="AS128" s="36"/>
      <c r="AT128" s="36"/>
      <c r="AU128" s="36"/>
      <c r="AV128" s="36"/>
      <c r="AW128" s="36"/>
      <c r="AX128" s="36"/>
      <c r="AY128" s="36"/>
      <c r="AZ128" s="36"/>
      <c r="BA128" s="36"/>
      <c r="BB128" s="36"/>
      <c r="BC128" s="36"/>
      <c r="BD128" s="36"/>
      <c r="BE128" s="36"/>
    </row>
    <row r="129" spans="2:57" s="30" customFormat="1" ht="60" x14ac:dyDescent="0.2">
      <c r="B129" s="76" t="s">
        <v>694</v>
      </c>
      <c r="C129" s="474" t="s">
        <v>110</v>
      </c>
      <c r="D129" s="474"/>
      <c r="E129" s="33"/>
      <c r="G129" s="37" t="str">
        <f>IF(C129="Muu tuote tai materiaali","Muun tuotteen tai materiaalin määrän yksikkö","")</f>
        <v/>
      </c>
      <c r="H129" s="81"/>
      <c r="J129" s="32"/>
      <c r="K129" s="37" t="s">
        <v>297</v>
      </c>
      <c r="L129" s="37" t="s">
        <v>185</v>
      </c>
      <c r="M129" s="37" t="s">
        <v>287</v>
      </c>
      <c r="N129" s="37"/>
      <c r="O129" s="262"/>
      <c r="Q129" s="34"/>
      <c r="R129" s="35" t="s">
        <v>318</v>
      </c>
      <c r="S129" s="35"/>
      <c r="T129" s="104"/>
      <c r="U129" s="35"/>
      <c r="V129" s="35"/>
      <c r="W129" s="35"/>
      <c r="X129" s="35"/>
      <c r="Y129" s="35"/>
      <c r="Z129" s="35"/>
      <c r="AA129" s="35"/>
      <c r="AB129" s="35"/>
      <c r="AC129" s="35"/>
      <c r="AD129" s="35"/>
      <c r="AE129" s="35"/>
      <c r="AF129" s="35"/>
      <c r="AG129" s="35"/>
      <c r="AH129" s="35"/>
      <c r="AI129" s="35"/>
      <c r="AJ129" s="35"/>
      <c r="AK129" s="35"/>
      <c r="AL129" s="35"/>
      <c r="AM129" s="35"/>
      <c r="AN129" s="36"/>
      <c r="AO129" s="36"/>
      <c r="AP129" s="36"/>
      <c r="AQ129" s="36"/>
      <c r="AR129" s="36"/>
      <c r="AS129" s="36"/>
      <c r="AT129" s="36"/>
      <c r="AU129" s="36"/>
      <c r="AV129" s="36"/>
      <c r="AW129" s="36"/>
      <c r="AX129" s="36"/>
      <c r="AY129" s="36"/>
      <c r="AZ129" s="36"/>
      <c r="BA129" s="36"/>
      <c r="BB129" s="36"/>
      <c r="BC129" s="36"/>
      <c r="BD129" s="36"/>
      <c r="BE129" s="36"/>
    </row>
    <row r="130" spans="2:57" s="30" customFormat="1" ht="15" x14ac:dyDescent="0.2">
      <c r="B130" s="52" t="s">
        <v>331</v>
      </c>
      <c r="C130" s="156"/>
      <c r="D130" s="81" t="str">
        <f>IFERROR(VLOOKUP(C129,Materiaalit!$C$87:$D$104,2,FALSE),"Yksikkö")</f>
        <v>Yksikkö</v>
      </c>
      <c r="E130" s="33"/>
      <c r="G130" s="41"/>
      <c r="H130" s="81"/>
      <c r="J130" s="32" t="s">
        <v>332</v>
      </c>
      <c r="K130" s="92" t="str">
        <f>IFERROR(IF(ISNUMBER(L130),L130,VLOOKUP(C129,Materiaalit!$C$87:$G$104,5,FALSE)),"--")</f>
        <v>--</v>
      </c>
      <c r="L130" s="39"/>
      <c r="M130" s="396" t="str">
        <f>IF(D130="Yksikkö","--",IF(AND(D130="Oma yksikkö",ISBLANK(G130)),"Puuttuu",IF(AND(D130="Oma yksikkö",NOT(ISBLANK(G130))),"kgCO2e/" &amp; G130,"kgCO2e/" &amp; D130)))</f>
        <v>--</v>
      </c>
      <c r="N130" s="41"/>
      <c r="O130" s="261"/>
      <c r="Q130" s="34"/>
      <c r="R130" s="48" t="str">
        <f>IF(NOT(AND(ISNUMBER(K130),ISNUMBER(C130))),"",C130*K130)</f>
        <v/>
      </c>
      <c r="S130" s="98" t="s">
        <v>160</v>
      </c>
      <c r="T130" s="104"/>
      <c r="U130" s="35"/>
      <c r="V130" s="35"/>
      <c r="W130" s="35"/>
      <c r="X130" s="35"/>
      <c r="Y130" s="35"/>
      <c r="Z130" s="35"/>
      <c r="AA130" s="35"/>
      <c r="AB130" s="35"/>
      <c r="AC130" s="35"/>
      <c r="AD130" s="35"/>
      <c r="AE130" s="35"/>
      <c r="AF130" s="35"/>
      <c r="AG130" s="35"/>
      <c r="AH130" s="35"/>
      <c r="AI130" s="35"/>
      <c r="AJ130" s="35"/>
      <c r="AK130" s="35"/>
      <c r="AL130" s="35"/>
      <c r="AM130" s="35"/>
      <c r="AN130" s="36"/>
      <c r="AO130" s="36"/>
      <c r="AP130" s="36"/>
      <c r="AQ130" s="36"/>
      <c r="AR130" s="36"/>
      <c r="AS130" s="36"/>
      <c r="AT130" s="36"/>
      <c r="AU130" s="36"/>
      <c r="AV130" s="36"/>
      <c r="AW130" s="36"/>
      <c r="AX130" s="36"/>
      <c r="AY130" s="36"/>
      <c r="AZ130" s="36"/>
      <c r="BA130" s="36"/>
      <c r="BB130" s="36"/>
      <c r="BC130" s="36"/>
      <c r="BD130" s="36"/>
      <c r="BE130" s="36"/>
    </row>
    <row r="131" spans="2:57" s="30" customFormat="1" ht="15" x14ac:dyDescent="0.2">
      <c r="B131" s="160" t="s">
        <v>305</v>
      </c>
      <c r="C131" s="33"/>
      <c r="D131" s="81"/>
      <c r="E131" s="33"/>
      <c r="G131" s="33"/>
      <c r="H131" s="81"/>
      <c r="J131" s="32"/>
      <c r="K131" s="37"/>
      <c r="L131" s="37"/>
      <c r="M131" s="37"/>
      <c r="N131" s="37"/>
      <c r="O131" s="262"/>
      <c r="Q131" s="34"/>
      <c r="R131" s="59"/>
      <c r="S131" s="35"/>
      <c r="T131" s="104"/>
      <c r="U131" s="35"/>
      <c r="V131" s="35"/>
      <c r="W131" s="35"/>
      <c r="X131" s="35"/>
      <c r="Y131" s="35"/>
      <c r="Z131" s="35"/>
      <c r="AA131" s="35"/>
      <c r="AB131" s="35"/>
      <c r="AC131" s="35"/>
      <c r="AD131" s="35"/>
      <c r="AE131" s="35"/>
      <c r="AF131" s="35"/>
      <c r="AG131" s="35"/>
      <c r="AH131" s="35"/>
      <c r="AI131" s="35"/>
      <c r="AJ131" s="35"/>
      <c r="AK131" s="35"/>
      <c r="AL131" s="35"/>
      <c r="AM131" s="35"/>
      <c r="AN131" s="36"/>
      <c r="AO131" s="36"/>
      <c r="AP131" s="36"/>
      <c r="AQ131" s="36"/>
      <c r="AR131" s="36"/>
      <c r="AS131" s="36"/>
      <c r="AT131" s="36"/>
      <c r="AU131" s="36"/>
      <c r="AV131" s="36"/>
      <c r="AW131" s="36"/>
      <c r="AX131" s="36"/>
      <c r="AY131" s="36"/>
      <c r="AZ131" s="36"/>
      <c r="BA131" s="36"/>
      <c r="BB131" s="36"/>
      <c r="BC131" s="36"/>
      <c r="BD131" s="36"/>
      <c r="BE131" s="36"/>
    </row>
    <row r="132" spans="2:57" s="30" customFormat="1" ht="60" x14ac:dyDescent="0.2">
      <c r="B132" s="76" t="s">
        <v>694</v>
      </c>
      <c r="C132" s="474" t="s">
        <v>110</v>
      </c>
      <c r="D132" s="474"/>
      <c r="E132" s="33"/>
      <c r="G132" s="37" t="str">
        <f>IF(C132="Muu tuote tai materiaali","Muun tuotteen tai materiaalin määrän yksikkö","")</f>
        <v/>
      </c>
      <c r="H132" s="81"/>
      <c r="J132" s="32"/>
      <c r="K132" s="37" t="s">
        <v>297</v>
      </c>
      <c r="L132" s="37" t="s">
        <v>185</v>
      </c>
      <c r="M132" s="37" t="s">
        <v>287</v>
      </c>
      <c r="N132" s="37"/>
      <c r="O132" s="262"/>
      <c r="Q132" s="34"/>
      <c r="R132" s="35" t="s">
        <v>318</v>
      </c>
      <c r="S132" s="35"/>
      <c r="T132" s="104"/>
      <c r="U132" s="35"/>
      <c r="V132" s="35"/>
      <c r="W132" s="35"/>
      <c r="X132" s="35"/>
      <c r="Y132" s="35"/>
      <c r="Z132" s="35"/>
      <c r="AA132" s="35"/>
      <c r="AB132" s="35"/>
      <c r="AC132" s="35"/>
      <c r="AD132" s="35"/>
      <c r="AE132" s="35"/>
      <c r="AF132" s="35"/>
      <c r="AG132" s="35"/>
      <c r="AH132" s="35"/>
      <c r="AI132" s="35"/>
      <c r="AJ132" s="35"/>
      <c r="AK132" s="35"/>
      <c r="AL132" s="35"/>
      <c r="AM132" s="35"/>
      <c r="AN132" s="36"/>
      <c r="AO132" s="36"/>
      <c r="AP132" s="36"/>
      <c r="AQ132" s="36"/>
      <c r="AR132" s="36"/>
      <c r="AS132" s="36"/>
      <c r="AT132" s="36"/>
      <c r="AU132" s="36"/>
      <c r="AV132" s="36"/>
      <c r="AW132" s="36"/>
      <c r="AX132" s="36"/>
      <c r="AY132" s="36"/>
      <c r="AZ132" s="36"/>
      <c r="BA132" s="36"/>
      <c r="BB132" s="36"/>
      <c r="BC132" s="36"/>
      <c r="BD132" s="36"/>
      <c r="BE132" s="36"/>
    </row>
    <row r="133" spans="2:57" s="30" customFormat="1" ht="15" x14ac:dyDescent="0.2">
      <c r="B133" s="52" t="s">
        <v>331</v>
      </c>
      <c r="C133" s="156"/>
      <c r="D133" s="81" t="str">
        <f>IFERROR(VLOOKUP(C132,Materiaalit!$C$87:$D$104,2,FALSE),"Yksikkö")</f>
        <v>Yksikkö</v>
      </c>
      <c r="E133" s="33"/>
      <c r="G133" s="41"/>
      <c r="H133" s="81"/>
      <c r="J133" s="32" t="s">
        <v>332</v>
      </c>
      <c r="K133" s="92" t="str">
        <f>IFERROR(IF(ISNUMBER(L133),L133,VLOOKUP(C132,Materiaalit!$C$87:$G$104,5,FALSE)),"--")</f>
        <v>--</v>
      </c>
      <c r="L133" s="39"/>
      <c r="M133" s="396" t="str">
        <f>IF(D133="Yksikkö","--",IF(AND(D133="Oma yksikkö",ISBLANK(G133)),"Puuttuu",IF(AND(D133="Oma yksikkö",NOT(ISBLANK(G133))),"kgCO2e/" &amp; G133,"kgCO2e/" &amp; D133)))</f>
        <v>--</v>
      </c>
      <c r="N133" s="41"/>
      <c r="O133" s="261"/>
      <c r="Q133" s="34"/>
      <c r="R133" s="48" t="str">
        <f>IF(NOT(AND(ISNUMBER(K133),ISNUMBER(C133))),"",C133*K133)</f>
        <v/>
      </c>
      <c r="S133" s="98" t="s">
        <v>160</v>
      </c>
      <c r="T133" s="104"/>
      <c r="U133" s="35"/>
      <c r="V133" s="35"/>
      <c r="W133" s="35"/>
      <c r="X133" s="35"/>
      <c r="Y133" s="35"/>
      <c r="Z133" s="35"/>
      <c r="AA133" s="35"/>
      <c r="AB133" s="35"/>
      <c r="AC133" s="35"/>
      <c r="AD133" s="35"/>
      <c r="AE133" s="35"/>
      <c r="AF133" s="35"/>
      <c r="AG133" s="35"/>
      <c r="AH133" s="35"/>
      <c r="AI133" s="35"/>
      <c r="AJ133" s="35"/>
      <c r="AK133" s="35"/>
      <c r="AL133" s="35"/>
      <c r="AM133" s="35"/>
      <c r="AN133" s="36"/>
      <c r="AO133" s="36"/>
      <c r="AP133" s="36"/>
      <c r="AQ133" s="36"/>
      <c r="AR133" s="36"/>
      <c r="AS133" s="36"/>
      <c r="AT133" s="36"/>
      <c r="AU133" s="36"/>
      <c r="AV133" s="36"/>
      <c r="AW133" s="36"/>
      <c r="AX133" s="36"/>
      <c r="AY133" s="36"/>
      <c r="AZ133" s="36"/>
      <c r="BA133" s="36"/>
      <c r="BB133" s="36"/>
      <c r="BC133" s="36"/>
      <c r="BD133" s="36"/>
      <c r="BE133" s="36"/>
    </row>
    <row r="134" spans="2:57" s="30" customFormat="1" ht="15" x14ac:dyDescent="0.2">
      <c r="B134" s="160" t="s">
        <v>306</v>
      </c>
      <c r="C134" s="33"/>
      <c r="D134" s="81"/>
      <c r="E134" s="33"/>
      <c r="G134" s="33"/>
      <c r="H134" s="81"/>
      <c r="J134" s="32"/>
      <c r="K134" s="37"/>
      <c r="L134" s="37"/>
      <c r="M134" s="37"/>
      <c r="N134" s="37"/>
      <c r="O134" s="262"/>
      <c r="Q134" s="34"/>
      <c r="R134" s="59"/>
      <c r="S134" s="35"/>
      <c r="T134" s="104"/>
      <c r="U134" s="35"/>
      <c r="V134" s="35"/>
      <c r="W134" s="35"/>
      <c r="X134" s="35"/>
      <c r="Y134" s="35"/>
      <c r="Z134" s="35"/>
      <c r="AA134" s="35"/>
      <c r="AB134" s="35"/>
      <c r="AC134" s="35"/>
      <c r="AD134" s="35"/>
      <c r="AE134" s="35"/>
      <c r="AF134" s="35"/>
      <c r="AG134" s="35"/>
      <c r="AH134" s="35"/>
      <c r="AI134" s="35"/>
      <c r="AJ134" s="35"/>
      <c r="AK134" s="35"/>
      <c r="AL134" s="35"/>
      <c r="AM134" s="35"/>
      <c r="AN134" s="36"/>
      <c r="AO134" s="36"/>
      <c r="AP134" s="36"/>
      <c r="AQ134" s="36"/>
      <c r="AR134" s="36"/>
      <c r="AS134" s="36"/>
      <c r="AT134" s="36"/>
      <c r="AU134" s="36"/>
      <c r="AV134" s="36"/>
      <c r="AW134" s="36"/>
      <c r="AX134" s="36"/>
      <c r="AY134" s="36"/>
      <c r="AZ134" s="36"/>
      <c r="BA134" s="36"/>
      <c r="BB134" s="36"/>
      <c r="BC134" s="36"/>
      <c r="BD134" s="36"/>
      <c r="BE134" s="36"/>
    </row>
    <row r="135" spans="2:57" s="30" customFormat="1" ht="60" x14ac:dyDescent="0.2">
      <c r="B135" s="76" t="s">
        <v>694</v>
      </c>
      <c r="C135" s="474" t="s">
        <v>110</v>
      </c>
      <c r="D135" s="474"/>
      <c r="E135" s="33"/>
      <c r="G135" s="37" t="str">
        <f>IF(C135="Muu tuote tai materiaali","Muun tuotteen tai materiaalin määrän yksikkö","")</f>
        <v/>
      </c>
      <c r="H135" s="81"/>
      <c r="J135" s="32"/>
      <c r="K135" s="37" t="s">
        <v>297</v>
      </c>
      <c r="L135" s="37" t="s">
        <v>185</v>
      </c>
      <c r="M135" s="37" t="s">
        <v>287</v>
      </c>
      <c r="N135" s="37"/>
      <c r="O135" s="262"/>
      <c r="Q135" s="34"/>
      <c r="R135" s="35" t="s">
        <v>318</v>
      </c>
      <c r="S135" s="35"/>
      <c r="T135" s="104"/>
      <c r="U135" s="35"/>
      <c r="V135" s="35"/>
      <c r="W135" s="35"/>
      <c r="X135" s="35"/>
      <c r="Y135" s="35"/>
      <c r="Z135" s="35"/>
      <c r="AA135" s="35"/>
      <c r="AB135" s="35"/>
      <c r="AC135" s="35"/>
      <c r="AD135" s="35"/>
      <c r="AE135" s="35"/>
      <c r="AF135" s="35"/>
      <c r="AG135" s="35"/>
      <c r="AH135" s="35"/>
      <c r="AI135" s="35"/>
      <c r="AJ135" s="35"/>
      <c r="AK135" s="35"/>
      <c r="AL135" s="35"/>
      <c r="AM135" s="35"/>
      <c r="AN135" s="36"/>
      <c r="AO135" s="36"/>
      <c r="AP135" s="36"/>
      <c r="AQ135" s="36"/>
      <c r="AR135" s="36"/>
      <c r="AS135" s="36"/>
      <c r="AT135" s="36"/>
      <c r="AU135" s="36"/>
      <c r="AV135" s="36"/>
      <c r="AW135" s="36"/>
      <c r="AX135" s="36"/>
      <c r="AY135" s="36"/>
      <c r="AZ135" s="36"/>
      <c r="BA135" s="36"/>
      <c r="BB135" s="36"/>
      <c r="BC135" s="36"/>
      <c r="BD135" s="36"/>
      <c r="BE135" s="36"/>
    </row>
    <row r="136" spans="2:57" s="30" customFormat="1" ht="15" x14ac:dyDescent="0.2">
      <c r="B136" s="52" t="s">
        <v>331</v>
      </c>
      <c r="C136" s="156"/>
      <c r="D136" s="81" t="str">
        <f>IFERROR(VLOOKUP(C135,Materiaalit!$C$87:$D$104,2,FALSE),"Yksikkö")</f>
        <v>Yksikkö</v>
      </c>
      <c r="E136" s="33"/>
      <c r="F136" s="33"/>
      <c r="G136" s="41"/>
      <c r="H136" s="81"/>
      <c r="J136" s="32" t="s">
        <v>332</v>
      </c>
      <c r="K136" s="92" t="str">
        <f>IFERROR(IF(ISNUMBER(L136),L136,VLOOKUP(C135,Materiaalit!$C$87:$G$104,5,FALSE)),"--")</f>
        <v>--</v>
      </c>
      <c r="L136" s="39"/>
      <c r="M136" s="396" t="str">
        <f>IF(D136="Yksikkö","--",IF(AND(D136="Oma yksikkö",ISBLANK(G136)),"Puuttuu",IF(AND(D136="Oma yksikkö",NOT(ISBLANK(G136))),"kgCO2e/" &amp; G136,"kgCO2e/" &amp; D136)))</f>
        <v>--</v>
      </c>
      <c r="N136" s="41"/>
      <c r="O136" s="261"/>
      <c r="Q136" s="34"/>
      <c r="R136" s="48" t="str">
        <f>IF(NOT(AND(ISNUMBER(K136),ISNUMBER(C136))),"",C136*K136)</f>
        <v/>
      </c>
      <c r="S136" s="98" t="s">
        <v>160</v>
      </c>
      <c r="T136" s="104"/>
      <c r="U136" s="35"/>
      <c r="V136" s="35"/>
      <c r="W136" s="35"/>
      <c r="X136" s="35"/>
      <c r="Y136" s="35"/>
      <c r="Z136" s="35"/>
      <c r="AA136" s="35"/>
      <c r="AB136" s="35"/>
      <c r="AC136" s="35"/>
      <c r="AD136" s="35"/>
      <c r="AE136" s="35"/>
      <c r="AF136" s="35"/>
      <c r="AG136" s="35"/>
      <c r="AH136" s="35"/>
      <c r="AI136" s="35"/>
      <c r="AJ136" s="35"/>
      <c r="AK136" s="35"/>
      <c r="AL136" s="35"/>
      <c r="AM136" s="35"/>
      <c r="AN136" s="36"/>
      <c r="AO136" s="36"/>
      <c r="AP136" s="36"/>
      <c r="AQ136" s="36"/>
      <c r="AR136" s="36"/>
      <c r="AS136" s="36"/>
      <c r="AT136" s="36"/>
      <c r="AU136" s="36"/>
      <c r="AV136" s="36"/>
      <c r="AW136" s="36"/>
      <c r="AX136" s="36"/>
      <c r="AY136" s="36"/>
      <c r="AZ136" s="36"/>
      <c r="BA136" s="36"/>
      <c r="BB136" s="36"/>
      <c r="BC136" s="36"/>
      <c r="BD136" s="36"/>
      <c r="BE136" s="36"/>
    </row>
    <row r="137" spans="2:57" s="30" customFormat="1" ht="15" x14ac:dyDescent="0.2">
      <c r="B137" s="160" t="s">
        <v>307</v>
      </c>
      <c r="C137" s="33"/>
      <c r="D137" s="81"/>
      <c r="E137" s="33"/>
      <c r="G137" s="33"/>
      <c r="H137" s="81"/>
      <c r="J137" s="32"/>
      <c r="K137" s="37"/>
      <c r="L137" s="37"/>
      <c r="M137" s="37"/>
      <c r="N137" s="37"/>
      <c r="O137" s="262"/>
      <c r="Q137" s="34"/>
      <c r="R137" s="59"/>
      <c r="S137" s="35"/>
      <c r="T137" s="104"/>
      <c r="U137" s="35"/>
      <c r="V137" s="35"/>
      <c r="W137" s="35"/>
      <c r="X137" s="35"/>
      <c r="Y137" s="35"/>
      <c r="Z137" s="35"/>
      <c r="AA137" s="35"/>
      <c r="AB137" s="35"/>
      <c r="AC137" s="35"/>
      <c r="AD137" s="35"/>
      <c r="AE137" s="35"/>
      <c r="AF137" s="35"/>
      <c r="AG137" s="35"/>
      <c r="AH137" s="35"/>
      <c r="AI137" s="35"/>
      <c r="AJ137" s="35"/>
      <c r="AK137" s="35"/>
      <c r="AL137" s="35"/>
      <c r="AM137" s="35"/>
      <c r="AN137" s="36"/>
      <c r="AO137" s="36"/>
      <c r="AP137" s="36"/>
      <c r="AQ137" s="36"/>
      <c r="AR137" s="36"/>
      <c r="AS137" s="36"/>
      <c r="AT137" s="36"/>
      <c r="AU137" s="36"/>
      <c r="AV137" s="36"/>
      <c r="AW137" s="36"/>
      <c r="AX137" s="36"/>
      <c r="AY137" s="36"/>
      <c r="AZ137" s="36"/>
      <c r="BA137" s="36"/>
      <c r="BB137" s="36"/>
      <c r="BC137" s="36"/>
      <c r="BD137" s="36"/>
      <c r="BE137" s="36"/>
    </row>
    <row r="138" spans="2:57" s="30" customFormat="1" ht="60" x14ac:dyDescent="0.2">
      <c r="B138" s="76" t="s">
        <v>694</v>
      </c>
      <c r="C138" s="474" t="s">
        <v>110</v>
      </c>
      <c r="D138" s="474"/>
      <c r="E138" s="33"/>
      <c r="G138" s="37" t="str">
        <f>IF(C138="Muu tuote tai materiaali","Muun tuotteen tai materiaalin määrän yksikkö","")</f>
        <v/>
      </c>
      <c r="H138" s="81"/>
      <c r="J138" s="32"/>
      <c r="K138" s="37" t="s">
        <v>297</v>
      </c>
      <c r="L138" s="37" t="s">
        <v>185</v>
      </c>
      <c r="M138" s="37" t="s">
        <v>287</v>
      </c>
      <c r="N138" s="37"/>
      <c r="O138" s="262"/>
      <c r="Q138" s="34"/>
      <c r="R138" s="35" t="s">
        <v>318</v>
      </c>
      <c r="S138" s="35"/>
      <c r="T138" s="104"/>
      <c r="U138" s="35"/>
      <c r="V138" s="35"/>
      <c r="W138" s="35"/>
      <c r="X138" s="35"/>
      <c r="Y138" s="35"/>
      <c r="Z138" s="35"/>
      <c r="AA138" s="35"/>
      <c r="AB138" s="35"/>
      <c r="AC138" s="35"/>
      <c r="AD138" s="35"/>
      <c r="AE138" s="35"/>
      <c r="AF138" s="35"/>
      <c r="AG138" s="35"/>
      <c r="AH138" s="35"/>
      <c r="AI138" s="35"/>
      <c r="AJ138" s="35"/>
      <c r="AK138" s="35"/>
      <c r="AL138" s="35"/>
      <c r="AM138" s="35"/>
      <c r="AN138" s="36"/>
      <c r="AO138" s="36"/>
      <c r="AP138" s="36"/>
      <c r="AQ138" s="36"/>
      <c r="AR138" s="36"/>
      <c r="AS138" s="36"/>
      <c r="AT138" s="36"/>
      <c r="AU138" s="36"/>
      <c r="AV138" s="36"/>
      <c r="AW138" s="36"/>
      <c r="AX138" s="36"/>
      <c r="AY138" s="36"/>
      <c r="AZ138" s="36"/>
      <c r="BA138" s="36"/>
      <c r="BB138" s="36"/>
      <c r="BC138" s="36"/>
      <c r="BD138" s="36"/>
      <c r="BE138" s="36"/>
    </row>
    <row r="139" spans="2:57" s="30" customFormat="1" ht="15" x14ac:dyDescent="0.2">
      <c r="B139" s="52" t="s">
        <v>331</v>
      </c>
      <c r="C139" s="156"/>
      <c r="D139" s="81" t="str">
        <f>IFERROR(VLOOKUP(C138,Materiaalit!$C$87:$D$104,2,FALSE),"Yksikkö")</f>
        <v>Yksikkö</v>
      </c>
      <c r="E139" s="33"/>
      <c r="G139" s="41"/>
      <c r="H139" s="81"/>
      <c r="J139" s="32" t="s">
        <v>332</v>
      </c>
      <c r="K139" s="92" t="str">
        <f>IFERROR(IF(ISNUMBER(L139),L139,VLOOKUP(C138,Materiaalit!$C$87:$G$104,5,FALSE)),"--")</f>
        <v>--</v>
      </c>
      <c r="L139" s="39"/>
      <c r="M139" s="396" t="str">
        <f>IF(D139="Yksikkö","--",IF(AND(D139="Oma yksikkö",ISBLANK(G139)),"Puuttuu",IF(AND(D139="Oma yksikkö",NOT(ISBLANK(G139))),"kgCO2e/" &amp; G139,"kgCO2e/" &amp; D139)))</f>
        <v>--</v>
      </c>
      <c r="N139" s="41"/>
      <c r="O139" s="261"/>
      <c r="Q139" s="34"/>
      <c r="R139" s="48" t="str">
        <f>IF(NOT(AND(ISNUMBER(K139),ISNUMBER(C139))),"",C139*K139)</f>
        <v/>
      </c>
      <c r="S139" s="98" t="s">
        <v>160</v>
      </c>
      <c r="T139" s="104"/>
      <c r="U139" s="35"/>
      <c r="V139" s="35"/>
      <c r="W139" s="35"/>
      <c r="X139" s="35"/>
      <c r="Y139" s="35"/>
      <c r="Z139" s="35"/>
      <c r="AA139" s="35"/>
      <c r="AB139" s="35"/>
      <c r="AC139" s="35"/>
      <c r="AD139" s="35"/>
      <c r="AE139" s="35"/>
      <c r="AF139" s="35"/>
      <c r="AG139" s="35"/>
      <c r="AH139" s="35"/>
      <c r="AI139" s="35"/>
      <c r="AJ139" s="35"/>
      <c r="AK139" s="35"/>
      <c r="AL139" s="35"/>
      <c r="AM139" s="35"/>
      <c r="AN139" s="36"/>
      <c r="AO139" s="36"/>
      <c r="AP139" s="36"/>
      <c r="AQ139" s="36"/>
      <c r="AR139" s="36"/>
      <c r="AS139" s="36"/>
      <c r="AT139" s="36"/>
      <c r="AU139" s="36"/>
      <c r="AV139" s="36"/>
      <c r="AW139" s="36"/>
      <c r="AX139" s="36"/>
      <c r="AY139" s="36"/>
      <c r="AZ139" s="36"/>
      <c r="BA139" s="36"/>
      <c r="BB139" s="36"/>
      <c r="BC139" s="36"/>
      <c r="BD139" s="36"/>
      <c r="BE139" s="36"/>
    </row>
    <row r="140" spans="2:57" s="30" customFormat="1" ht="15" x14ac:dyDescent="0.2">
      <c r="C140" s="33"/>
      <c r="D140" s="81"/>
      <c r="G140" s="33"/>
      <c r="H140" s="81"/>
      <c r="J140" s="32"/>
      <c r="K140" s="33"/>
      <c r="L140" s="33"/>
      <c r="M140" s="81"/>
      <c r="N140" s="81"/>
      <c r="O140" s="81"/>
      <c r="Q140" s="34"/>
      <c r="R140" s="95"/>
      <c r="S140" s="35"/>
      <c r="T140" s="35"/>
      <c r="U140" s="35"/>
      <c r="V140" s="35"/>
      <c r="W140" s="35"/>
      <c r="X140" s="35"/>
      <c r="Y140" s="35"/>
      <c r="Z140" s="35"/>
      <c r="AA140" s="35"/>
      <c r="AB140" s="35"/>
      <c r="AC140" s="35"/>
      <c r="AD140" s="35"/>
      <c r="AE140" s="35"/>
      <c r="AF140" s="35"/>
      <c r="AG140" s="35"/>
      <c r="AH140" s="35"/>
      <c r="AI140" s="35"/>
      <c r="AJ140" s="35"/>
      <c r="AK140" s="35"/>
      <c r="AL140" s="35"/>
      <c r="AM140" s="35"/>
      <c r="AN140" s="36"/>
      <c r="AO140" s="36"/>
      <c r="AP140" s="36"/>
      <c r="AQ140" s="36"/>
      <c r="AR140" s="36"/>
      <c r="AS140" s="36"/>
      <c r="AT140" s="36"/>
      <c r="AU140" s="36"/>
      <c r="AV140" s="36"/>
      <c r="AW140" s="36"/>
      <c r="AX140" s="36"/>
      <c r="AY140" s="36"/>
      <c r="AZ140" s="36"/>
      <c r="BA140" s="36"/>
      <c r="BB140" s="36"/>
      <c r="BC140" s="36"/>
      <c r="BD140" s="36"/>
      <c r="BE140" s="36"/>
    </row>
    <row r="141" spans="2:57" s="289" customFormat="1" ht="18" x14ac:dyDescent="0.2">
      <c r="B141" s="286" t="s">
        <v>286</v>
      </c>
      <c r="C141" s="287"/>
      <c r="D141" s="288"/>
      <c r="G141" s="287"/>
      <c r="H141" s="288"/>
      <c r="K141" s="287"/>
      <c r="L141" s="287"/>
      <c r="M141" s="288"/>
      <c r="N141" s="288"/>
      <c r="O141" s="291"/>
      <c r="P141" s="311"/>
      <c r="Q141" s="295"/>
      <c r="S141" s="294"/>
      <c r="T141" s="294"/>
      <c r="U141" s="294"/>
      <c r="V141" s="294"/>
      <c r="W141" s="294"/>
      <c r="X141" s="294"/>
      <c r="Y141" s="294"/>
      <c r="Z141" s="294"/>
      <c r="AA141" s="294"/>
      <c r="AB141" s="294"/>
      <c r="AC141" s="294"/>
      <c r="AD141" s="294"/>
      <c r="AE141" s="294"/>
      <c r="AF141" s="294"/>
      <c r="AG141" s="294"/>
      <c r="AH141" s="294"/>
      <c r="AI141" s="294"/>
      <c r="AJ141" s="294"/>
      <c r="AK141" s="294"/>
      <c r="AL141" s="294"/>
      <c r="AM141" s="294"/>
      <c r="AN141" s="295"/>
      <c r="AO141" s="295"/>
      <c r="AP141" s="295"/>
      <c r="AQ141" s="295"/>
      <c r="AR141" s="295"/>
      <c r="AS141" s="295"/>
      <c r="AT141" s="295"/>
      <c r="AU141" s="295"/>
      <c r="AV141" s="295"/>
      <c r="AW141" s="295"/>
      <c r="AX141" s="295"/>
      <c r="AY141" s="295"/>
      <c r="AZ141" s="295"/>
      <c r="BA141" s="295"/>
      <c r="BB141" s="295"/>
      <c r="BC141" s="295"/>
      <c r="BD141" s="295"/>
      <c r="BE141" s="295"/>
    </row>
    <row r="142" spans="2:57" s="30" customFormat="1" ht="15.75" x14ac:dyDescent="0.2">
      <c r="B142" s="8"/>
      <c r="C142" s="33"/>
      <c r="D142" s="81"/>
      <c r="G142" s="33"/>
      <c r="H142" s="81"/>
      <c r="J142" s="32"/>
      <c r="K142" s="33"/>
      <c r="L142" s="33"/>
      <c r="M142" s="81"/>
      <c r="N142" s="81"/>
      <c r="O142" s="81"/>
      <c r="Q142" s="34"/>
      <c r="R142" s="95"/>
      <c r="S142" s="35"/>
      <c r="T142" s="35"/>
      <c r="U142" s="35"/>
      <c r="V142" s="35"/>
      <c r="W142" s="35"/>
      <c r="X142" s="35"/>
      <c r="Y142" s="35"/>
      <c r="Z142" s="35"/>
      <c r="AA142" s="35"/>
      <c r="AB142" s="35"/>
      <c r="AC142" s="35"/>
      <c r="AD142" s="35"/>
      <c r="AE142" s="35"/>
      <c r="AF142" s="35"/>
      <c r="AG142" s="35"/>
      <c r="AH142" s="35"/>
      <c r="AI142" s="35"/>
      <c r="AJ142" s="35"/>
      <c r="AK142" s="35"/>
      <c r="AL142" s="35"/>
      <c r="AM142" s="35"/>
      <c r="AN142" s="36"/>
      <c r="AO142" s="36"/>
      <c r="AP142" s="36"/>
      <c r="AQ142" s="36"/>
      <c r="AR142" s="36"/>
      <c r="AS142" s="36"/>
      <c r="AT142" s="36"/>
      <c r="AU142" s="36"/>
      <c r="AV142" s="36"/>
      <c r="AW142" s="36"/>
      <c r="AX142" s="36"/>
      <c r="AY142" s="36"/>
      <c r="AZ142" s="36"/>
      <c r="BA142" s="36"/>
      <c r="BB142" s="36"/>
      <c r="BC142" s="36"/>
      <c r="BD142" s="36"/>
      <c r="BE142" s="36"/>
    </row>
    <row r="143" spans="2:57" s="30" customFormat="1" ht="45.75" customHeight="1" x14ac:dyDescent="0.2">
      <c r="B143" s="477" t="s">
        <v>516</v>
      </c>
      <c r="C143" s="477"/>
      <c r="D143" s="477"/>
      <c r="E143" s="477"/>
      <c r="F143" s="477"/>
      <c r="G143" s="477"/>
      <c r="H143" s="477"/>
      <c r="J143" s="32"/>
      <c r="K143" s="41"/>
      <c r="L143" s="41"/>
      <c r="M143" s="40"/>
      <c r="N143" s="40"/>
      <c r="O143" s="249" t="s">
        <v>584</v>
      </c>
      <c r="Q143" s="34"/>
      <c r="R143" s="59"/>
      <c r="S143" s="98"/>
      <c r="T143" s="35"/>
      <c r="U143" s="35"/>
      <c r="V143" s="35"/>
      <c r="W143" s="35"/>
      <c r="X143" s="35"/>
      <c r="Y143" s="35"/>
      <c r="Z143" s="35"/>
      <c r="AA143" s="35"/>
      <c r="AB143" s="104"/>
      <c r="AC143" s="35"/>
      <c r="AD143" s="35"/>
      <c r="AE143" s="35"/>
      <c r="AF143" s="35"/>
      <c r="AG143" s="35"/>
      <c r="AH143" s="35"/>
      <c r="AI143" s="35"/>
      <c r="AJ143" s="35"/>
      <c r="AK143" s="35"/>
      <c r="AL143" s="35"/>
      <c r="AM143" s="35"/>
      <c r="AN143" s="36"/>
      <c r="AO143" s="36"/>
      <c r="AP143" s="36"/>
      <c r="AQ143" s="36"/>
      <c r="AR143" s="36"/>
      <c r="AS143" s="36"/>
      <c r="AT143" s="36"/>
      <c r="AU143" s="36"/>
      <c r="AV143" s="36"/>
      <c r="AW143" s="36"/>
      <c r="AX143" s="36"/>
      <c r="AY143" s="36"/>
      <c r="AZ143" s="36"/>
      <c r="BA143" s="36"/>
      <c r="BB143" s="36"/>
      <c r="BC143" s="36"/>
      <c r="BD143" s="36"/>
      <c r="BE143" s="36"/>
    </row>
    <row r="144" spans="2:57" s="30" customFormat="1" ht="60.75" customHeight="1" x14ac:dyDescent="0.2">
      <c r="B144" s="477" t="s">
        <v>661</v>
      </c>
      <c r="C144" s="477"/>
      <c r="D144" s="477"/>
      <c r="E144" s="477"/>
      <c r="F144" s="477"/>
      <c r="G144" s="477"/>
      <c r="H144" s="477"/>
      <c r="J144" s="32"/>
      <c r="K144" s="41"/>
      <c r="L144" s="41"/>
      <c r="M144" s="40"/>
      <c r="N144" s="40"/>
      <c r="O144" s="250"/>
      <c r="Q144" s="34"/>
      <c r="R144" s="59"/>
      <c r="S144" s="98"/>
      <c r="T144" s="35"/>
      <c r="U144" s="35"/>
      <c r="V144" s="35"/>
      <c r="W144" s="35"/>
      <c r="X144" s="35"/>
      <c r="Y144" s="35"/>
      <c r="Z144" s="35"/>
      <c r="AA144" s="35"/>
      <c r="AB144" s="104"/>
      <c r="AC144" s="35"/>
      <c r="AD144" s="35"/>
      <c r="AE144" s="35"/>
      <c r="AF144" s="35"/>
      <c r="AG144" s="35"/>
      <c r="AH144" s="35"/>
      <c r="AI144" s="35"/>
      <c r="AJ144" s="35"/>
      <c r="AK144" s="35"/>
      <c r="AL144" s="35"/>
      <c r="AM144" s="35"/>
      <c r="AN144" s="36"/>
      <c r="AO144" s="36"/>
      <c r="AP144" s="36"/>
      <c r="AQ144" s="36"/>
      <c r="AR144" s="36"/>
      <c r="AS144" s="36"/>
      <c r="AT144" s="36"/>
      <c r="AU144" s="36"/>
      <c r="AV144" s="36"/>
      <c r="AW144" s="36"/>
      <c r="AX144" s="36"/>
      <c r="AY144" s="36"/>
      <c r="AZ144" s="36"/>
      <c r="BA144" s="36"/>
      <c r="BB144" s="36"/>
      <c r="BC144" s="36"/>
      <c r="BD144" s="36"/>
      <c r="BE144" s="36"/>
    </row>
    <row r="145" spans="2:57" s="30" customFormat="1" ht="15.75" x14ac:dyDescent="0.2">
      <c r="B145" s="8"/>
      <c r="C145" s="33"/>
      <c r="D145" s="81"/>
      <c r="G145" s="33"/>
      <c r="H145" s="81"/>
      <c r="J145" s="32"/>
      <c r="K145" s="33"/>
      <c r="L145" s="33"/>
      <c r="M145" s="81"/>
      <c r="N145" s="81"/>
      <c r="O145" s="96"/>
      <c r="Q145" s="34"/>
      <c r="R145" s="95"/>
      <c r="S145" s="35"/>
      <c r="T145" s="35"/>
      <c r="U145" s="35"/>
      <c r="V145" s="35"/>
      <c r="W145" s="35"/>
      <c r="X145" s="35"/>
      <c r="Y145" s="35"/>
      <c r="Z145" s="35"/>
      <c r="AA145" s="35"/>
      <c r="AB145" s="35"/>
      <c r="AC145" s="35"/>
      <c r="AD145" s="35"/>
      <c r="AE145" s="35"/>
      <c r="AF145" s="35"/>
      <c r="AG145" s="35"/>
      <c r="AH145" s="35"/>
      <c r="AI145" s="35"/>
      <c r="AJ145" s="35"/>
      <c r="AK145" s="35"/>
      <c r="AL145" s="35"/>
      <c r="AM145" s="35"/>
      <c r="AN145" s="36"/>
      <c r="AO145" s="36"/>
      <c r="AP145" s="36"/>
      <c r="AQ145" s="36"/>
      <c r="AR145" s="36"/>
      <c r="AS145" s="36"/>
      <c r="AT145" s="36"/>
      <c r="AU145" s="36"/>
      <c r="AV145" s="36"/>
      <c r="AW145" s="36"/>
      <c r="AX145" s="36"/>
      <c r="AY145" s="36"/>
      <c r="AZ145" s="36"/>
      <c r="BA145" s="36"/>
      <c r="BB145" s="36"/>
      <c r="BC145" s="36"/>
      <c r="BD145" s="36"/>
      <c r="BE145" s="36"/>
    </row>
    <row r="146" spans="2:57" s="30" customFormat="1" ht="15.75" x14ac:dyDescent="0.2">
      <c r="B146" s="8" t="str">
        <f>B125</f>
        <v>Kemikaali-, tuote- tai materiaalilaji 1</v>
      </c>
      <c r="C146" s="33"/>
      <c r="D146" s="81"/>
      <c r="G146" s="33"/>
      <c r="H146" s="81"/>
      <c r="J146" s="32"/>
      <c r="K146" s="33"/>
      <c r="L146" s="33"/>
      <c r="M146" s="81"/>
      <c r="N146" s="81"/>
      <c r="O146" s="96"/>
      <c r="Q146" s="34"/>
      <c r="R146" s="35" t="s">
        <v>318</v>
      </c>
      <c r="S146" s="35"/>
      <c r="T146" s="35"/>
      <c r="U146" s="35"/>
      <c r="V146" s="35"/>
      <c r="W146" s="35"/>
      <c r="X146" s="35"/>
      <c r="Y146" s="35"/>
      <c r="Z146" s="35"/>
      <c r="AA146" s="35"/>
      <c r="AB146" s="104"/>
      <c r="AC146" s="35"/>
      <c r="AD146" s="35"/>
      <c r="AE146" s="35"/>
      <c r="AF146" s="35"/>
      <c r="AG146" s="35"/>
      <c r="AH146" s="35"/>
      <c r="AI146" s="35"/>
      <c r="AJ146" s="35"/>
      <c r="AK146" s="35"/>
      <c r="AL146" s="35"/>
      <c r="AM146" s="35"/>
      <c r="AN146" s="36"/>
      <c r="AO146" s="36"/>
      <c r="AP146" s="36"/>
      <c r="AQ146" s="36"/>
      <c r="AR146" s="36"/>
      <c r="AS146" s="36"/>
      <c r="AT146" s="36"/>
      <c r="AU146" s="36"/>
      <c r="AV146" s="36"/>
      <c r="AW146" s="36"/>
      <c r="AX146" s="36"/>
      <c r="AY146" s="36"/>
      <c r="AZ146" s="36"/>
      <c r="BA146" s="36"/>
      <c r="BB146" s="36"/>
      <c r="BC146" s="36"/>
      <c r="BD146" s="36"/>
      <c r="BE146" s="36"/>
    </row>
    <row r="147" spans="2:57" s="30" customFormat="1" ht="15" x14ac:dyDescent="0.2">
      <c r="B147" s="52" t="s">
        <v>340</v>
      </c>
      <c r="C147" s="152"/>
      <c r="D147" s="81" t="s">
        <v>252</v>
      </c>
      <c r="G147" s="33" t="s">
        <v>308</v>
      </c>
      <c r="H147" s="81"/>
      <c r="J147" s="32"/>
      <c r="K147" s="37" t="s">
        <v>297</v>
      </c>
      <c r="L147" s="37" t="s">
        <v>185</v>
      </c>
      <c r="M147" s="81"/>
      <c r="N147" s="81"/>
      <c r="O147" s="96"/>
      <c r="Q147" s="34"/>
      <c r="R147" s="48" t="str">
        <f>IF(AND(ISNUMBER(G148),ISNUMBER(C147)),SUM(R148,R151:R153),"")</f>
        <v/>
      </c>
      <c r="S147" s="98" t="s">
        <v>160</v>
      </c>
      <c r="T147" s="35"/>
      <c r="U147" s="35"/>
      <c r="V147" s="35"/>
      <c r="W147" s="35"/>
      <c r="X147" s="35"/>
      <c r="Y147" s="35"/>
      <c r="Z147" s="35"/>
      <c r="AA147" s="35"/>
      <c r="AB147" s="104"/>
      <c r="AC147" s="35"/>
      <c r="AD147" s="35"/>
      <c r="AE147" s="35"/>
      <c r="AF147" s="35"/>
      <c r="AG147" s="35"/>
      <c r="AH147" s="35"/>
      <c r="AI147" s="35"/>
      <c r="AJ147" s="35"/>
      <c r="AK147" s="35"/>
      <c r="AL147" s="35"/>
      <c r="AM147" s="35"/>
      <c r="AN147" s="36"/>
      <c r="AO147" s="36"/>
      <c r="AP147" s="36"/>
      <c r="AQ147" s="36"/>
      <c r="AR147" s="36"/>
      <c r="AS147" s="36"/>
      <c r="AT147" s="36"/>
      <c r="AU147" s="36"/>
      <c r="AV147" s="36"/>
      <c r="AW147" s="36"/>
      <c r="AX147" s="36"/>
      <c r="AY147" s="36"/>
      <c r="AZ147" s="36"/>
      <c r="BA147" s="36"/>
      <c r="BB147" s="36"/>
      <c r="BC147" s="36"/>
      <c r="BD147" s="36"/>
      <c r="BE147" s="36"/>
    </row>
    <row r="148" spans="2:57" s="30" customFormat="1" ht="30" x14ac:dyDescent="0.2">
      <c r="B148" s="151" t="s">
        <v>660</v>
      </c>
      <c r="C148" s="475" t="s">
        <v>253</v>
      </c>
      <c r="D148" s="476"/>
      <c r="G148" s="152"/>
      <c r="H148" s="81" t="s">
        <v>5</v>
      </c>
      <c r="J148" s="169" t="s">
        <v>395</v>
      </c>
      <c r="K148" s="92" t="str">
        <f>IFERROR(IF(ISNUMBER(L148),L148,(VLOOKUP(C149,Kalusto!$C$45:$G$84,5,FALSE)*(VLOOKUP(C150,Muut!$D$40:$E$43,2,FALSE)))),"--")</f>
        <v>--</v>
      </c>
      <c r="L148" s="39"/>
      <c r="M148" s="40" t="s">
        <v>184</v>
      </c>
      <c r="N148" s="40"/>
      <c r="O148" s="259"/>
      <c r="Q148" s="34"/>
      <c r="R148" s="48" t="str">
        <f>IF(ISNUMBER(Y149*X149*K148),Y149*X149*K148,"")</f>
        <v/>
      </c>
      <c r="S148" s="98" t="s">
        <v>160</v>
      </c>
      <c r="T148" s="35" t="s">
        <v>400</v>
      </c>
      <c r="U148" s="35" t="s">
        <v>349</v>
      </c>
      <c r="V148" s="35" t="s">
        <v>397</v>
      </c>
      <c r="W148" s="35" t="s">
        <v>398</v>
      </c>
      <c r="X148" s="35" t="s">
        <v>401</v>
      </c>
      <c r="Y148" s="35" t="s">
        <v>403</v>
      </c>
      <c r="Z148" s="35" t="s">
        <v>339</v>
      </c>
      <c r="AA148" s="35"/>
      <c r="AB148" s="104"/>
      <c r="AC148" s="35"/>
      <c r="AD148" s="35"/>
      <c r="AE148" s="35"/>
      <c r="AF148" s="35"/>
      <c r="AG148" s="35"/>
      <c r="AH148" s="35"/>
      <c r="AI148" s="35"/>
      <c r="AJ148" s="35"/>
      <c r="AK148" s="35"/>
      <c r="AL148" s="35"/>
      <c r="AM148" s="35"/>
      <c r="AN148" s="36"/>
      <c r="AO148" s="36"/>
      <c r="AP148" s="36"/>
      <c r="AQ148" s="36"/>
      <c r="AR148" s="36"/>
      <c r="AS148" s="36"/>
      <c r="AT148" s="36"/>
      <c r="AU148" s="36"/>
      <c r="AV148" s="36"/>
      <c r="AW148" s="36"/>
      <c r="AX148" s="36"/>
      <c r="AY148" s="36"/>
      <c r="AZ148" s="36"/>
      <c r="BA148" s="36"/>
      <c r="BB148" s="36"/>
      <c r="BC148" s="36"/>
      <c r="BD148" s="36"/>
      <c r="BE148" s="36"/>
    </row>
    <row r="149" spans="2:57" s="30" customFormat="1" ht="30" x14ac:dyDescent="0.2">
      <c r="B149" s="76" t="s">
        <v>479</v>
      </c>
      <c r="C149" s="471" t="s">
        <v>298</v>
      </c>
      <c r="D149" s="472"/>
      <c r="E149" s="472"/>
      <c r="F149" s="472"/>
      <c r="G149" s="473"/>
      <c r="J149" s="32"/>
      <c r="K149" s="37"/>
      <c r="L149" s="37"/>
      <c r="M149" s="40"/>
      <c r="N149" s="40"/>
      <c r="O149" s="259"/>
      <c r="Q149" s="45"/>
      <c r="R149" s="104"/>
      <c r="S149" s="35"/>
      <c r="T149" s="46" t="str">
        <f>IFERROR(IF(ISNUMBER(L148),"Kohdetieto",VLOOKUP(C149,Kalusto!$C$45:$L$84,7,FALSE)),"--")</f>
        <v>--</v>
      </c>
      <c r="U149" s="46" t="str">
        <f>IFERROR(IF(ISNUMBER(L148),"Kohdetieto",VLOOKUP(C149,Kalusto!$C$45:$L$84,8,FALSE)),"--")</f>
        <v>--</v>
      </c>
      <c r="V149" s="47" t="str">
        <f>IFERROR(IF(ISNUMBER(L148),"Kohdetieto",VLOOKUP(C149,Kalusto!$C$45:$L$84,9,FALSE)),"--")</f>
        <v>--</v>
      </c>
      <c r="W149" s="47" t="str">
        <f>IFERROR(IF(ISNUMBER(L148),"Kohdetieto",VLOOKUP(C149,Kalusto!$C$45:$L$84,10,FALSE)),"--")</f>
        <v>--</v>
      </c>
      <c r="X149" s="48" t="str">
        <f>IF(ISBLANK(C147),"",C147/1000)</f>
        <v/>
      </c>
      <c r="Y149" s="46" t="str">
        <f>IF(ISNUMBER(G148),G148,"")</f>
        <v/>
      </c>
      <c r="Z149" s="49" t="str">
        <f>IF(ISNUMBER(L148),L148,K148)</f>
        <v>--</v>
      </c>
      <c r="AA149" s="35"/>
      <c r="AB149" s="104"/>
      <c r="AC149" s="35"/>
      <c r="AD149" s="35"/>
      <c r="AE149" s="35"/>
      <c r="AF149" s="35"/>
      <c r="AG149" s="35"/>
      <c r="AH149" s="35"/>
      <c r="AI149" s="35"/>
      <c r="AJ149" s="35"/>
      <c r="AK149" s="35"/>
      <c r="AL149" s="35"/>
      <c r="AM149" s="35"/>
      <c r="AN149" s="36"/>
      <c r="AO149" s="36"/>
      <c r="AP149" s="36"/>
      <c r="AQ149" s="36"/>
      <c r="AR149" s="36"/>
      <c r="AS149" s="36"/>
      <c r="AT149" s="36"/>
      <c r="AU149" s="36"/>
      <c r="AV149" s="36"/>
      <c r="AW149" s="36"/>
      <c r="AX149" s="36"/>
      <c r="AY149" s="36"/>
      <c r="AZ149" s="36"/>
      <c r="BA149" s="36"/>
      <c r="BB149" s="36"/>
      <c r="BC149" s="36"/>
      <c r="BD149" s="36"/>
      <c r="BE149" s="36"/>
    </row>
    <row r="150" spans="2:57" s="30" customFormat="1" ht="15" x14ac:dyDescent="0.2">
      <c r="B150" s="76" t="s">
        <v>457</v>
      </c>
      <c r="C150" s="156" t="s">
        <v>309</v>
      </c>
      <c r="D150" s="33"/>
      <c r="E150" s="33"/>
      <c r="F150" s="33"/>
      <c r="G150" s="33"/>
      <c r="H150" s="57"/>
      <c r="J150" s="169"/>
      <c r="K150" s="169" t="s">
        <v>297</v>
      </c>
      <c r="L150" s="169" t="s">
        <v>185</v>
      </c>
      <c r="M150" s="40"/>
      <c r="N150" s="40"/>
      <c r="O150" s="259"/>
      <c r="Q150" s="45"/>
      <c r="R150" s="35"/>
      <c r="S150" s="35"/>
      <c r="T150" s="35"/>
      <c r="U150" s="35"/>
      <c r="V150" s="177"/>
      <c r="W150" s="177"/>
      <c r="X150" s="59"/>
      <c r="Y150" s="35"/>
      <c r="Z150" s="59"/>
      <c r="AA150" s="178"/>
      <c r="AB150" s="59"/>
      <c r="AC150" s="59"/>
      <c r="AD150" s="59"/>
      <c r="AE150" s="59"/>
      <c r="AF150" s="178"/>
      <c r="AG150" s="59"/>
      <c r="AH150" s="35"/>
      <c r="AI150" s="35"/>
      <c r="AJ150" s="35"/>
      <c r="AK150" s="104"/>
      <c r="AL150" s="35"/>
      <c r="AM150" s="35"/>
      <c r="AN150" s="36"/>
      <c r="AO150" s="36"/>
      <c r="AP150" s="36"/>
      <c r="AQ150" s="36"/>
      <c r="AR150" s="36"/>
      <c r="AS150" s="36"/>
      <c r="AT150" s="36"/>
      <c r="AU150" s="36"/>
      <c r="AV150" s="36"/>
      <c r="AW150" s="36"/>
      <c r="AX150" s="36"/>
      <c r="AY150" s="36"/>
      <c r="AZ150" s="36"/>
      <c r="BA150" s="36"/>
      <c r="BB150" s="36"/>
      <c r="BC150" s="36"/>
      <c r="BD150" s="36"/>
      <c r="BE150" s="36"/>
    </row>
    <row r="151" spans="2:57" s="30" customFormat="1" ht="15" x14ac:dyDescent="0.2">
      <c r="B151" s="151" t="s">
        <v>491</v>
      </c>
      <c r="C151" s="474" t="s">
        <v>739</v>
      </c>
      <c r="D151" s="474"/>
      <c r="E151" s="165"/>
      <c r="G151" s="152"/>
      <c r="H151" s="81" t="s">
        <v>5</v>
      </c>
      <c r="J151" s="32" t="str">
        <f>IFERROR(VLOOKUP(C151,Kalusto!$B$107:$C$110,2,FALSE),"Valitse kuljetustapa")</f>
        <v>Valitse kuljetustapa</v>
      </c>
      <c r="K151" s="92" t="str">
        <f>IFERROR(IF(ISNUMBER(L151),L151,VLOOKUP(J151,Kalusto!$C$107:$G$110,5,FALSE)),"--")</f>
        <v>--</v>
      </c>
      <c r="L151" s="39"/>
      <c r="M151" s="40" t="s">
        <v>184</v>
      </c>
      <c r="N151" s="40"/>
      <c r="O151" s="259"/>
      <c r="Q151" s="34"/>
      <c r="R151" s="48" t="str">
        <f>IF(AND(ISNUMBER(G151)*ISNUMBER(C147)),K151*G151*X149,"")</f>
        <v/>
      </c>
      <c r="S151" s="98" t="s">
        <v>160</v>
      </c>
      <c r="T151" s="35"/>
      <c r="U151" s="35"/>
      <c r="V151" s="35"/>
      <c r="W151" s="35"/>
      <c r="X151" s="35"/>
      <c r="Y151" s="35"/>
      <c r="Z151" s="35"/>
      <c r="AA151" s="35"/>
      <c r="AB151" s="104"/>
      <c r="AC151" s="35"/>
      <c r="AD151" s="35"/>
      <c r="AE151" s="35"/>
      <c r="AF151" s="35"/>
      <c r="AG151" s="35"/>
      <c r="AH151" s="35"/>
      <c r="AI151" s="35"/>
      <c r="AJ151" s="35"/>
      <c r="AK151" s="35"/>
      <c r="AL151" s="35"/>
      <c r="AM151" s="35"/>
      <c r="AN151" s="36"/>
      <c r="AO151" s="36"/>
      <c r="AP151" s="36"/>
      <c r="AQ151" s="36"/>
      <c r="AR151" s="36"/>
      <c r="AS151" s="36"/>
      <c r="AT151" s="36"/>
      <c r="AU151" s="36"/>
      <c r="AV151" s="36"/>
      <c r="AW151" s="36"/>
      <c r="AX151" s="36"/>
      <c r="AY151" s="36"/>
      <c r="AZ151" s="36"/>
      <c r="BA151" s="36"/>
      <c r="BB151" s="36"/>
      <c r="BC151" s="36"/>
      <c r="BD151" s="36"/>
      <c r="BE151" s="36"/>
    </row>
    <row r="152" spans="2:57" s="30" customFormat="1" ht="15" x14ac:dyDescent="0.2">
      <c r="B152" s="151" t="s">
        <v>491</v>
      </c>
      <c r="C152" s="474" t="s">
        <v>739</v>
      </c>
      <c r="D152" s="474"/>
      <c r="E152" s="165"/>
      <c r="G152" s="152"/>
      <c r="H152" s="81" t="s">
        <v>5</v>
      </c>
      <c r="J152" s="32" t="str">
        <f>IFERROR(VLOOKUP(C152,Kalusto!$B$107:$C$110,2,FALSE),"Valitse kuljetustapa")</f>
        <v>Valitse kuljetustapa</v>
      </c>
      <c r="K152" s="92" t="str">
        <f>IFERROR(IF(ISNUMBER(L152),L152,VLOOKUP(J152,Kalusto!$C$107:$G$110,5,FALSE)),"--")</f>
        <v>--</v>
      </c>
      <c r="L152" s="39"/>
      <c r="M152" s="40" t="s">
        <v>184</v>
      </c>
      <c r="N152" s="40"/>
      <c r="O152" s="259"/>
      <c r="Q152" s="34"/>
      <c r="R152" s="48" t="str">
        <f>IF(AND(ISNUMBER(G152)*ISNUMBER(C147)),K152*G152*X149,"")</f>
        <v/>
      </c>
      <c r="S152" s="98" t="s">
        <v>160</v>
      </c>
      <c r="T152" s="35"/>
      <c r="U152" s="35"/>
      <c r="V152" s="35"/>
      <c r="W152" s="35"/>
      <c r="X152" s="35"/>
      <c r="Y152" s="35"/>
      <c r="Z152" s="35"/>
      <c r="AA152" s="35"/>
      <c r="AB152" s="104"/>
      <c r="AC152" s="35"/>
      <c r="AD152" s="35"/>
      <c r="AE152" s="35"/>
      <c r="AF152" s="35"/>
      <c r="AG152" s="35"/>
      <c r="AH152" s="35"/>
      <c r="AI152" s="35"/>
      <c r="AJ152" s="35"/>
      <c r="AK152" s="35"/>
      <c r="AL152" s="35"/>
      <c r="AM152" s="35"/>
      <c r="AN152" s="36"/>
      <c r="AO152" s="36"/>
      <c r="AP152" s="36"/>
      <c r="AQ152" s="36"/>
      <c r="AR152" s="36"/>
      <c r="AS152" s="36"/>
      <c r="AT152" s="36"/>
      <c r="AU152" s="36"/>
      <c r="AV152" s="36"/>
      <c r="AW152" s="36"/>
      <c r="AX152" s="36"/>
      <c r="AY152" s="36"/>
      <c r="AZ152" s="36"/>
      <c r="BA152" s="36"/>
      <c r="BB152" s="36"/>
      <c r="BC152" s="36"/>
      <c r="BD152" s="36"/>
      <c r="BE152" s="36"/>
    </row>
    <row r="153" spans="2:57" s="30" customFormat="1" ht="15" x14ac:dyDescent="0.2">
      <c r="B153" s="151" t="s">
        <v>491</v>
      </c>
      <c r="C153" s="474" t="s">
        <v>739</v>
      </c>
      <c r="D153" s="474"/>
      <c r="E153" s="165"/>
      <c r="G153" s="152"/>
      <c r="H153" s="81" t="s">
        <v>5</v>
      </c>
      <c r="J153" s="32" t="str">
        <f>IFERROR(VLOOKUP(C153,Kalusto!$B$107:$C$110,2,FALSE),"Valitse kuljetustapa")</f>
        <v>Valitse kuljetustapa</v>
      </c>
      <c r="K153" s="92" t="str">
        <f>IFERROR(IF(ISNUMBER(L153),L153,VLOOKUP(J153,Kalusto!$C$107:$G$110,5,FALSE)),"--")</f>
        <v>--</v>
      </c>
      <c r="L153" s="39"/>
      <c r="M153" s="40" t="s">
        <v>184</v>
      </c>
      <c r="N153" s="40"/>
      <c r="O153" s="259"/>
      <c r="Q153" s="34"/>
      <c r="R153" s="48" t="str">
        <f>IF(AND(ISNUMBER(G153)*ISNUMBER(C147)),K153*G153*X149,"")</f>
        <v/>
      </c>
      <c r="S153" s="98" t="s">
        <v>160</v>
      </c>
      <c r="T153" s="35"/>
      <c r="U153" s="35"/>
      <c r="V153" s="35"/>
      <c r="W153" s="35"/>
      <c r="X153" s="35"/>
      <c r="Y153" s="35"/>
      <c r="Z153" s="35"/>
      <c r="AA153" s="35"/>
      <c r="AB153" s="104"/>
      <c r="AC153" s="35"/>
      <c r="AD153" s="35"/>
      <c r="AE153" s="35"/>
      <c r="AF153" s="35"/>
      <c r="AG153" s="35"/>
      <c r="AH153" s="35"/>
      <c r="AI153" s="35"/>
      <c r="AJ153" s="35"/>
      <c r="AK153" s="35"/>
      <c r="AL153" s="35"/>
      <c r="AM153" s="35"/>
      <c r="AN153" s="36"/>
      <c r="AO153" s="36"/>
      <c r="AP153" s="36"/>
      <c r="AQ153" s="36"/>
      <c r="AR153" s="36"/>
      <c r="AS153" s="36"/>
      <c r="AT153" s="36"/>
      <c r="AU153" s="36"/>
      <c r="AV153" s="36"/>
      <c r="AW153" s="36"/>
      <c r="AX153" s="36"/>
      <c r="AY153" s="36"/>
      <c r="AZ153" s="36"/>
      <c r="BA153" s="36"/>
      <c r="BB153" s="36"/>
      <c r="BC153" s="36"/>
      <c r="BD153" s="36"/>
      <c r="BE153" s="36"/>
    </row>
    <row r="154" spans="2:57" s="30" customFormat="1" ht="15.75" x14ac:dyDescent="0.2">
      <c r="B154" s="8" t="str">
        <f>B128</f>
        <v>Kemikaali-, tuote- tai materiaalilaji 2</v>
      </c>
      <c r="C154" s="33"/>
      <c r="D154" s="81"/>
      <c r="G154" s="70"/>
      <c r="H154" s="81"/>
      <c r="J154" s="32"/>
      <c r="K154" s="33"/>
      <c r="L154" s="33"/>
      <c r="M154" s="81"/>
      <c r="N154" s="81"/>
      <c r="O154" s="96"/>
      <c r="Q154" s="34"/>
      <c r="R154" s="35" t="s">
        <v>318</v>
      </c>
      <c r="S154" s="35"/>
      <c r="T154" s="35"/>
      <c r="U154" s="35"/>
      <c r="V154" s="35"/>
      <c r="W154" s="35"/>
      <c r="X154" s="35"/>
      <c r="Y154" s="35"/>
      <c r="Z154" s="35"/>
      <c r="AA154" s="35"/>
      <c r="AB154" s="104"/>
      <c r="AC154" s="35"/>
      <c r="AD154" s="35"/>
      <c r="AE154" s="35"/>
      <c r="AF154" s="35"/>
      <c r="AG154" s="35"/>
      <c r="AH154" s="35"/>
      <c r="AI154" s="35"/>
      <c r="AJ154" s="35"/>
      <c r="AK154" s="35"/>
      <c r="AL154" s="35"/>
      <c r="AM154" s="35"/>
      <c r="AN154" s="36"/>
      <c r="AO154" s="36"/>
      <c r="AP154" s="36"/>
      <c r="AQ154" s="36"/>
      <c r="AR154" s="36"/>
      <c r="AS154" s="36"/>
      <c r="AT154" s="36"/>
      <c r="AU154" s="36"/>
      <c r="AV154" s="36"/>
      <c r="AW154" s="36"/>
      <c r="AX154" s="36"/>
      <c r="AY154" s="36"/>
      <c r="AZ154" s="36"/>
      <c r="BA154" s="36"/>
      <c r="BB154" s="36"/>
      <c r="BC154" s="36"/>
      <c r="BD154" s="36"/>
      <c r="BE154" s="36"/>
    </row>
    <row r="155" spans="2:57" s="30" customFormat="1" ht="15" x14ac:dyDescent="0.2">
      <c r="B155" s="52" t="s">
        <v>340</v>
      </c>
      <c r="C155" s="152"/>
      <c r="D155" s="81" t="s">
        <v>252</v>
      </c>
      <c r="G155" s="33"/>
      <c r="H155" s="81"/>
      <c r="J155" s="32"/>
      <c r="K155" s="37" t="s">
        <v>297</v>
      </c>
      <c r="L155" s="37" t="s">
        <v>185</v>
      </c>
      <c r="M155" s="81"/>
      <c r="N155" s="81"/>
      <c r="O155" s="96"/>
      <c r="Q155" s="34"/>
      <c r="R155" s="48" t="str">
        <f>IF(AND(ISNUMBER(G156),ISNUMBER(C155)),SUM(R156,R159:R161),"")</f>
        <v/>
      </c>
      <c r="S155" s="98" t="s">
        <v>160</v>
      </c>
      <c r="T155" s="35"/>
      <c r="U155" s="35"/>
      <c r="V155" s="35"/>
      <c r="W155" s="35"/>
      <c r="X155" s="35"/>
      <c r="Y155" s="35"/>
      <c r="Z155" s="35"/>
      <c r="AA155" s="35"/>
      <c r="AB155" s="104"/>
      <c r="AC155" s="35"/>
      <c r="AD155" s="35"/>
      <c r="AE155" s="35"/>
      <c r="AF155" s="35"/>
      <c r="AG155" s="35"/>
      <c r="AH155" s="35"/>
      <c r="AI155" s="35"/>
      <c r="AJ155" s="35"/>
      <c r="AK155" s="35"/>
      <c r="AL155" s="35"/>
      <c r="AM155" s="35"/>
      <c r="AN155" s="36"/>
      <c r="AO155" s="36"/>
      <c r="AP155" s="36"/>
      <c r="AQ155" s="36"/>
      <c r="AR155" s="36"/>
      <c r="AS155" s="36"/>
      <c r="AT155" s="36"/>
      <c r="AU155" s="36"/>
      <c r="AV155" s="36"/>
      <c r="AW155" s="36"/>
      <c r="AX155" s="36"/>
      <c r="AY155" s="36"/>
      <c r="AZ155" s="36"/>
      <c r="BA155" s="36"/>
      <c r="BB155" s="36"/>
      <c r="BC155" s="36"/>
      <c r="BD155" s="36"/>
      <c r="BE155" s="36"/>
    </row>
    <row r="156" spans="2:57" s="30" customFormat="1" ht="30" x14ac:dyDescent="0.2">
      <c r="B156" s="151" t="s">
        <v>660</v>
      </c>
      <c r="C156" s="475" t="s">
        <v>253</v>
      </c>
      <c r="D156" s="476"/>
      <c r="G156" s="152"/>
      <c r="H156" s="81" t="s">
        <v>5</v>
      </c>
      <c r="J156" s="169" t="s">
        <v>395</v>
      </c>
      <c r="K156" s="92" t="str">
        <f>IFERROR(IF(ISNUMBER(L156),L156,(VLOOKUP(C157,Kalusto!$C$45:$G$84,5,FALSE)*(VLOOKUP(C158,Muut!$D$40:$E$43,2,FALSE)))),"--")</f>
        <v>--</v>
      </c>
      <c r="L156" s="39"/>
      <c r="M156" s="40" t="s">
        <v>184</v>
      </c>
      <c r="N156" s="40"/>
      <c r="O156" s="259"/>
      <c r="Q156" s="34"/>
      <c r="R156" s="48" t="str">
        <f>IF(ISNUMBER(Y157*X157*K156),Y157*X157*K156,"")</f>
        <v/>
      </c>
      <c r="S156" s="98" t="s">
        <v>160</v>
      </c>
      <c r="T156" s="35" t="s">
        <v>400</v>
      </c>
      <c r="U156" s="35" t="s">
        <v>349</v>
      </c>
      <c r="V156" s="35" t="s">
        <v>397</v>
      </c>
      <c r="W156" s="35" t="s">
        <v>398</v>
      </c>
      <c r="X156" s="35" t="s">
        <v>401</v>
      </c>
      <c r="Y156" s="35" t="s">
        <v>403</v>
      </c>
      <c r="Z156" s="35" t="s">
        <v>339</v>
      </c>
      <c r="AA156" s="35"/>
      <c r="AB156" s="104"/>
      <c r="AC156" s="35"/>
      <c r="AD156" s="35"/>
      <c r="AE156" s="35"/>
      <c r="AF156" s="35"/>
      <c r="AG156" s="35"/>
      <c r="AH156" s="35"/>
      <c r="AI156" s="35"/>
      <c r="AJ156" s="35"/>
      <c r="AK156" s="35"/>
      <c r="AL156" s="35"/>
      <c r="AM156" s="35"/>
      <c r="AN156" s="36"/>
      <c r="AO156" s="36"/>
      <c r="AP156" s="36"/>
      <c r="AQ156" s="36"/>
      <c r="AR156" s="36"/>
      <c r="AS156" s="36"/>
      <c r="AT156" s="36"/>
      <c r="AU156" s="36"/>
      <c r="AV156" s="36"/>
      <c r="AW156" s="36"/>
      <c r="AX156" s="36"/>
      <c r="AY156" s="36"/>
      <c r="AZ156" s="36"/>
      <c r="BA156" s="36"/>
      <c r="BB156" s="36"/>
      <c r="BC156" s="36"/>
      <c r="BD156" s="36"/>
      <c r="BE156" s="36"/>
    </row>
    <row r="157" spans="2:57" s="30" customFormat="1" ht="15" x14ac:dyDescent="0.2">
      <c r="B157" s="76" t="s">
        <v>342</v>
      </c>
      <c r="C157" s="471" t="s">
        <v>298</v>
      </c>
      <c r="D157" s="472"/>
      <c r="E157" s="472"/>
      <c r="F157" s="472"/>
      <c r="G157" s="473"/>
      <c r="J157" s="32"/>
      <c r="K157" s="37"/>
      <c r="L157" s="37"/>
      <c r="M157" s="40"/>
      <c r="N157" s="40"/>
      <c r="O157" s="259"/>
      <c r="Q157" s="45"/>
      <c r="R157" s="104"/>
      <c r="S157" s="35"/>
      <c r="T157" s="46" t="str">
        <f>IFERROR(IF(ISNUMBER(L156),"Kohdetieto",VLOOKUP(C157,Kalusto!$C$45:$L$84,7,FALSE)),"--")</f>
        <v>--</v>
      </c>
      <c r="U157" s="46" t="str">
        <f>IFERROR(IF(ISNUMBER(L156),"Kohdetieto",VLOOKUP(C157,Kalusto!$C$45:$L$84,8,FALSE)),"--")</f>
        <v>--</v>
      </c>
      <c r="V157" s="47" t="str">
        <f>IFERROR(IF(ISNUMBER(L156),"Kohdetieto",VLOOKUP(C157,Kalusto!$C$45:$L$84,9,FALSE)),"--")</f>
        <v>--</v>
      </c>
      <c r="W157" s="47" t="str">
        <f>IFERROR(IF(ISNUMBER(L156),"Kohdetieto",VLOOKUP(C157,Kalusto!$C$45:$L$84,10,FALSE)),"--")</f>
        <v>--</v>
      </c>
      <c r="X157" s="48" t="str">
        <f>IF(ISBLANK(C155),"",C155/1000)</f>
        <v/>
      </c>
      <c r="Y157" s="46" t="str">
        <f>IF(ISNUMBER(G156),G156,"")</f>
        <v/>
      </c>
      <c r="Z157" s="49" t="str">
        <f>IF(ISNUMBER(L156),L156,K156)</f>
        <v>--</v>
      </c>
      <c r="AA157" s="35"/>
      <c r="AB157" s="104"/>
      <c r="AC157" s="35"/>
      <c r="AD157" s="35"/>
      <c r="AE157" s="35"/>
      <c r="AF157" s="35"/>
      <c r="AG157" s="35"/>
      <c r="AH157" s="35"/>
      <c r="AI157" s="35"/>
      <c r="AJ157" s="35"/>
      <c r="AK157" s="35"/>
      <c r="AL157" s="35"/>
      <c r="AM157" s="35"/>
      <c r="AN157" s="36"/>
      <c r="AO157" s="36"/>
      <c r="AP157" s="36"/>
      <c r="AQ157" s="36"/>
      <c r="AR157" s="36"/>
      <c r="AS157" s="36"/>
      <c r="AT157" s="36"/>
      <c r="AU157" s="36"/>
      <c r="AV157" s="36"/>
      <c r="AW157" s="36"/>
      <c r="AX157" s="36"/>
      <c r="AY157" s="36"/>
      <c r="AZ157" s="36"/>
      <c r="BA157" s="36"/>
      <c r="BB157" s="36"/>
      <c r="BC157" s="36"/>
      <c r="BD157" s="36"/>
      <c r="BE157" s="36"/>
    </row>
    <row r="158" spans="2:57" s="30" customFormat="1" ht="15" x14ac:dyDescent="0.2">
      <c r="B158" s="76" t="s">
        <v>457</v>
      </c>
      <c r="C158" s="156" t="s">
        <v>309</v>
      </c>
      <c r="D158" s="33"/>
      <c r="E158" s="33"/>
      <c r="F158" s="33"/>
      <c r="G158" s="33"/>
      <c r="H158" s="57"/>
      <c r="J158" s="169"/>
      <c r="K158" s="169" t="s">
        <v>297</v>
      </c>
      <c r="L158" s="169" t="s">
        <v>185</v>
      </c>
      <c r="M158" s="40"/>
      <c r="N158" s="40"/>
      <c r="O158" s="259"/>
      <c r="Q158" s="45"/>
      <c r="R158" s="35"/>
      <c r="S158" s="35"/>
      <c r="T158" s="35"/>
      <c r="U158" s="35"/>
      <c r="V158" s="177"/>
      <c r="W158" s="177"/>
      <c r="X158" s="59"/>
      <c r="Y158" s="35"/>
      <c r="Z158" s="59"/>
      <c r="AA158" s="178"/>
      <c r="AB158" s="59"/>
      <c r="AC158" s="59"/>
      <c r="AD158" s="59"/>
      <c r="AE158" s="59"/>
      <c r="AF158" s="178"/>
      <c r="AG158" s="59"/>
      <c r="AH158" s="35"/>
      <c r="AI158" s="35"/>
      <c r="AJ158" s="35"/>
      <c r="AK158" s="104"/>
      <c r="AL158" s="35"/>
      <c r="AM158" s="35"/>
      <c r="AN158" s="36"/>
      <c r="AO158" s="36"/>
      <c r="AP158" s="36"/>
      <c r="AQ158" s="36"/>
      <c r="AR158" s="36"/>
      <c r="AS158" s="36"/>
      <c r="AT158" s="36"/>
      <c r="AU158" s="36"/>
      <c r="AV158" s="36"/>
      <c r="AW158" s="36"/>
      <c r="AX158" s="36"/>
      <c r="AY158" s="36"/>
      <c r="AZ158" s="36"/>
      <c r="BA158" s="36"/>
      <c r="BB158" s="36"/>
      <c r="BC158" s="36"/>
      <c r="BD158" s="36"/>
      <c r="BE158" s="36"/>
    </row>
    <row r="159" spans="2:57" s="30" customFormat="1" ht="15" x14ac:dyDescent="0.2">
      <c r="B159" s="151" t="s">
        <v>491</v>
      </c>
      <c r="C159" s="474" t="s">
        <v>739</v>
      </c>
      <c r="D159" s="474"/>
      <c r="G159" s="152"/>
      <c r="H159" s="81" t="s">
        <v>5</v>
      </c>
      <c r="J159" s="32" t="str">
        <f>IFERROR(VLOOKUP(C159,Kalusto!$B$107:$C$110,2,FALSE),"Valitse kuljetustapa")</f>
        <v>Valitse kuljetustapa</v>
      </c>
      <c r="K159" s="92" t="str">
        <f>IFERROR(IF(ISNUMBER(L159),L159,VLOOKUP(J159,Kalusto!$C$107:$G$110,5,FALSE)),"--")</f>
        <v>--</v>
      </c>
      <c r="L159" s="39"/>
      <c r="M159" s="40" t="s">
        <v>184</v>
      </c>
      <c r="N159" s="40"/>
      <c r="O159" s="259"/>
      <c r="Q159" s="34"/>
      <c r="R159" s="48" t="str">
        <f>IF(AND(ISNUMBER(G159)*ISNUMBER(C155)),K159*G159*X157,"")</f>
        <v/>
      </c>
      <c r="S159" s="98" t="s">
        <v>160</v>
      </c>
      <c r="T159" s="35"/>
      <c r="U159" s="35"/>
      <c r="V159" s="35"/>
      <c r="W159" s="35"/>
      <c r="X159" s="35"/>
      <c r="Y159" s="35"/>
      <c r="Z159" s="35"/>
      <c r="AA159" s="35"/>
      <c r="AB159" s="104"/>
      <c r="AC159" s="35"/>
      <c r="AD159" s="35"/>
      <c r="AE159" s="35"/>
      <c r="AF159" s="35"/>
      <c r="AG159" s="35"/>
      <c r="AH159" s="35"/>
      <c r="AI159" s="35"/>
      <c r="AJ159" s="35"/>
      <c r="AK159" s="35"/>
      <c r="AL159" s="35"/>
      <c r="AM159" s="35"/>
      <c r="AN159" s="36"/>
      <c r="AO159" s="36"/>
      <c r="AP159" s="36"/>
      <c r="AQ159" s="36"/>
      <c r="AR159" s="36"/>
      <c r="AS159" s="36"/>
      <c r="AT159" s="36"/>
      <c r="AU159" s="36"/>
      <c r="AV159" s="36"/>
      <c r="AW159" s="36"/>
      <c r="AX159" s="36"/>
      <c r="AY159" s="36"/>
      <c r="AZ159" s="36"/>
      <c r="BA159" s="36"/>
      <c r="BB159" s="36"/>
      <c r="BC159" s="36"/>
      <c r="BD159" s="36"/>
      <c r="BE159" s="36"/>
    </row>
    <row r="160" spans="2:57" s="30" customFormat="1" ht="15" x14ac:dyDescent="0.2">
      <c r="B160" s="151" t="s">
        <v>491</v>
      </c>
      <c r="C160" s="474" t="s">
        <v>739</v>
      </c>
      <c r="D160" s="474"/>
      <c r="G160" s="152"/>
      <c r="H160" s="81" t="s">
        <v>5</v>
      </c>
      <c r="J160" s="32" t="str">
        <f>IFERROR(VLOOKUP(C160,Kalusto!$B$107:$C$110,2,FALSE),"Valitse kuljetustapa")</f>
        <v>Valitse kuljetustapa</v>
      </c>
      <c r="K160" s="92" t="str">
        <f>IFERROR(IF(ISNUMBER(L160),L160,VLOOKUP(J160,Kalusto!$C$107:$G$110,5,FALSE)),"--")</f>
        <v>--</v>
      </c>
      <c r="L160" s="39"/>
      <c r="M160" s="40" t="s">
        <v>184</v>
      </c>
      <c r="N160" s="40"/>
      <c r="O160" s="259"/>
      <c r="Q160" s="34"/>
      <c r="R160" s="48" t="str">
        <f>IF(AND(ISNUMBER(G160)*ISNUMBER(C155)),K160*G160*X157,"")</f>
        <v/>
      </c>
      <c r="S160" s="98" t="s">
        <v>160</v>
      </c>
      <c r="T160" s="35"/>
      <c r="U160" s="35"/>
      <c r="V160" s="35"/>
      <c r="W160" s="35"/>
      <c r="X160" s="35"/>
      <c r="Y160" s="35"/>
      <c r="Z160" s="35"/>
      <c r="AA160" s="35"/>
      <c r="AB160" s="104"/>
      <c r="AC160" s="35"/>
      <c r="AD160" s="35"/>
      <c r="AE160" s="35"/>
      <c r="AF160" s="35"/>
      <c r="AG160" s="35"/>
      <c r="AH160" s="35"/>
      <c r="AI160" s="35"/>
      <c r="AJ160" s="35"/>
      <c r="AK160" s="35"/>
      <c r="AL160" s="35"/>
      <c r="AM160" s="35"/>
      <c r="AN160" s="36"/>
      <c r="AO160" s="36"/>
      <c r="AP160" s="36"/>
      <c r="AQ160" s="36"/>
      <c r="AR160" s="36"/>
      <c r="AS160" s="36"/>
      <c r="AT160" s="36"/>
      <c r="AU160" s="36"/>
      <c r="AV160" s="36"/>
      <c r="AW160" s="36"/>
      <c r="AX160" s="36"/>
      <c r="AY160" s="36"/>
      <c r="AZ160" s="36"/>
      <c r="BA160" s="36"/>
      <c r="BB160" s="36"/>
      <c r="BC160" s="36"/>
      <c r="BD160" s="36"/>
      <c r="BE160" s="36"/>
    </row>
    <row r="161" spans="2:57" s="30" customFormat="1" ht="15" x14ac:dyDescent="0.2">
      <c r="B161" s="151" t="s">
        <v>491</v>
      </c>
      <c r="C161" s="474" t="s">
        <v>739</v>
      </c>
      <c r="D161" s="474"/>
      <c r="G161" s="152"/>
      <c r="H161" s="81" t="s">
        <v>5</v>
      </c>
      <c r="J161" s="32" t="str">
        <f>IFERROR(VLOOKUP(C161,Kalusto!$B$107:$C$110,2,FALSE),"Valitse kuljetustapa")</f>
        <v>Valitse kuljetustapa</v>
      </c>
      <c r="K161" s="92" t="str">
        <f>IFERROR(IF(ISNUMBER(L161),L161,VLOOKUP(J161,Kalusto!$C$107:$G$110,5,FALSE)),"--")</f>
        <v>--</v>
      </c>
      <c r="L161" s="39"/>
      <c r="M161" s="40" t="s">
        <v>184</v>
      </c>
      <c r="N161" s="40"/>
      <c r="O161" s="259"/>
      <c r="Q161" s="34"/>
      <c r="R161" s="48" t="str">
        <f>IF(AND(ISNUMBER(G161)*ISNUMBER(C155)),K161*G161*X157,"")</f>
        <v/>
      </c>
      <c r="S161" s="98" t="s">
        <v>160</v>
      </c>
      <c r="T161" s="35"/>
      <c r="U161" s="35"/>
      <c r="V161" s="35"/>
      <c r="W161" s="35"/>
      <c r="X161" s="35"/>
      <c r="Y161" s="35"/>
      <c r="Z161" s="35"/>
      <c r="AA161" s="35"/>
      <c r="AB161" s="104"/>
      <c r="AC161" s="35"/>
      <c r="AD161" s="35"/>
      <c r="AE161" s="35"/>
      <c r="AF161" s="35"/>
      <c r="AG161" s="35"/>
      <c r="AH161" s="35"/>
      <c r="AI161" s="35"/>
      <c r="AJ161" s="35"/>
      <c r="AK161" s="35"/>
      <c r="AL161" s="35"/>
      <c r="AM161" s="35"/>
      <c r="AN161" s="36"/>
      <c r="AO161" s="36"/>
      <c r="AP161" s="36"/>
      <c r="AQ161" s="36"/>
      <c r="AR161" s="36"/>
      <c r="AS161" s="36"/>
      <c r="AT161" s="36"/>
      <c r="AU161" s="36"/>
      <c r="AV161" s="36"/>
      <c r="AW161" s="36"/>
      <c r="AX161" s="36"/>
      <c r="AY161" s="36"/>
      <c r="AZ161" s="36"/>
      <c r="BA161" s="36"/>
      <c r="BB161" s="36"/>
      <c r="BC161" s="36"/>
      <c r="BD161" s="36"/>
      <c r="BE161" s="36"/>
    </row>
    <row r="162" spans="2:57" s="30" customFormat="1" ht="15.75" x14ac:dyDescent="0.2">
      <c r="B162" s="8" t="str">
        <f>B131</f>
        <v>Kemikaali-, tuote- tai materiaalilaji 3</v>
      </c>
      <c r="C162" s="33"/>
      <c r="D162" s="81"/>
      <c r="G162" s="70"/>
      <c r="H162" s="81"/>
      <c r="J162" s="32"/>
      <c r="K162" s="33"/>
      <c r="L162" s="33"/>
      <c r="M162" s="81"/>
      <c r="N162" s="81"/>
      <c r="O162" s="96"/>
      <c r="Q162" s="34"/>
      <c r="R162" s="35" t="s">
        <v>318</v>
      </c>
      <c r="S162" s="35"/>
      <c r="T162" s="35"/>
      <c r="U162" s="35"/>
      <c r="V162" s="35"/>
      <c r="W162" s="35"/>
      <c r="X162" s="35"/>
      <c r="Y162" s="35"/>
      <c r="Z162" s="35"/>
      <c r="AA162" s="35"/>
      <c r="AB162" s="104"/>
      <c r="AC162" s="35"/>
      <c r="AD162" s="35"/>
      <c r="AE162" s="35"/>
      <c r="AF162" s="35"/>
      <c r="AG162" s="35"/>
      <c r="AH162" s="35"/>
      <c r="AI162" s="35"/>
      <c r="AJ162" s="35"/>
      <c r="AK162" s="35"/>
      <c r="AL162" s="35"/>
      <c r="AM162" s="35"/>
      <c r="AN162" s="36"/>
      <c r="AO162" s="36"/>
      <c r="AP162" s="36"/>
      <c r="AQ162" s="36"/>
      <c r="AR162" s="36"/>
      <c r="AS162" s="36"/>
      <c r="AT162" s="36"/>
      <c r="AU162" s="36"/>
      <c r="AV162" s="36"/>
      <c r="AW162" s="36"/>
      <c r="AX162" s="36"/>
      <c r="AY162" s="36"/>
      <c r="AZ162" s="36"/>
      <c r="BA162" s="36"/>
      <c r="BB162" s="36"/>
      <c r="BC162" s="36"/>
      <c r="BD162" s="36"/>
      <c r="BE162" s="36"/>
    </row>
    <row r="163" spans="2:57" s="30" customFormat="1" ht="15" x14ac:dyDescent="0.2">
      <c r="B163" s="52" t="s">
        <v>340</v>
      </c>
      <c r="C163" s="152"/>
      <c r="D163" s="81" t="s">
        <v>252</v>
      </c>
      <c r="G163" s="33"/>
      <c r="H163" s="81"/>
      <c r="J163" s="32"/>
      <c r="K163" s="37" t="s">
        <v>297</v>
      </c>
      <c r="L163" s="37" t="s">
        <v>185</v>
      </c>
      <c r="M163" s="81"/>
      <c r="N163" s="81"/>
      <c r="O163" s="96"/>
      <c r="Q163" s="34"/>
      <c r="R163" s="48" t="str">
        <f>IF(AND(ISNUMBER(G164),ISNUMBER(C163)),SUM(R164,R167:R169),"")</f>
        <v/>
      </c>
      <c r="S163" s="98" t="s">
        <v>160</v>
      </c>
      <c r="T163" s="35"/>
      <c r="U163" s="35"/>
      <c r="V163" s="35"/>
      <c r="W163" s="35"/>
      <c r="X163" s="35"/>
      <c r="Y163" s="35"/>
      <c r="Z163" s="35"/>
      <c r="AA163" s="35"/>
      <c r="AB163" s="104"/>
      <c r="AC163" s="35"/>
      <c r="AD163" s="35"/>
      <c r="AE163" s="35"/>
      <c r="AF163" s="35"/>
      <c r="AG163" s="35"/>
      <c r="AH163" s="35"/>
      <c r="AI163" s="35"/>
      <c r="AJ163" s="35"/>
      <c r="AK163" s="35"/>
      <c r="AL163" s="35"/>
      <c r="AM163" s="35"/>
      <c r="AN163" s="36"/>
      <c r="AO163" s="36"/>
      <c r="AP163" s="36"/>
      <c r="AQ163" s="36"/>
      <c r="AR163" s="36"/>
      <c r="AS163" s="36"/>
      <c r="AT163" s="36"/>
      <c r="AU163" s="36"/>
      <c r="AV163" s="36"/>
      <c r="AW163" s="36"/>
      <c r="AX163" s="36"/>
      <c r="AY163" s="36"/>
      <c r="AZ163" s="36"/>
      <c r="BA163" s="36"/>
      <c r="BB163" s="36"/>
      <c r="BC163" s="36"/>
      <c r="BD163" s="36"/>
      <c r="BE163" s="36"/>
    </row>
    <row r="164" spans="2:57" s="30" customFormat="1" ht="30" x14ac:dyDescent="0.2">
      <c r="B164" s="151" t="s">
        <v>660</v>
      </c>
      <c r="C164" s="475" t="s">
        <v>253</v>
      </c>
      <c r="D164" s="476"/>
      <c r="G164" s="152"/>
      <c r="H164" s="81" t="s">
        <v>5</v>
      </c>
      <c r="J164" s="169" t="s">
        <v>395</v>
      </c>
      <c r="K164" s="92" t="str">
        <f>IFERROR(IF(ISNUMBER(L164),L164,(VLOOKUP(C165,Kalusto!$C$45:$G$84,5,FALSE)*(VLOOKUP(C166,Muut!$D$40:$E$43,2,FALSE)))),"--")</f>
        <v>--</v>
      </c>
      <c r="L164" s="39"/>
      <c r="M164" s="40" t="s">
        <v>184</v>
      </c>
      <c r="N164" s="40"/>
      <c r="O164" s="259"/>
      <c r="Q164" s="34"/>
      <c r="R164" s="48" t="str">
        <f>IF(ISNUMBER(Y165*X165*K164),Y165*X165*K164,"")</f>
        <v/>
      </c>
      <c r="S164" s="98" t="s">
        <v>160</v>
      </c>
      <c r="T164" s="35" t="s">
        <v>400</v>
      </c>
      <c r="U164" s="35" t="s">
        <v>349</v>
      </c>
      <c r="V164" s="35" t="s">
        <v>397</v>
      </c>
      <c r="W164" s="35" t="s">
        <v>398</v>
      </c>
      <c r="X164" s="35" t="s">
        <v>401</v>
      </c>
      <c r="Y164" s="35" t="s">
        <v>403</v>
      </c>
      <c r="Z164" s="35" t="s">
        <v>339</v>
      </c>
      <c r="AA164" s="35"/>
      <c r="AB164" s="104"/>
      <c r="AC164" s="35"/>
      <c r="AD164" s="35"/>
      <c r="AE164" s="35"/>
      <c r="AF164" s="35"/>
      <c r="AG164" s="35"/>
      <c r="AH164" s="35"/>
      <c r="AI164" s="35"/>
      <c r="AJ164" s="35"/>
      <c r="AK164" s="35"/>
      <c r="AL164" s="35"/>
      <c r="AM164" s="35"/>
      <c r="AN164" s="36"/>
      <c r="AO164" s="36"/>
      <c r="AP164" s="36"/>
      <c r="AQ164" s="36"/>
      <c r="AR164" s="36"/>
      <c r="AS164" s="36"/>
      <c r="AT164" s="36"/>
      <c r="AU164" s="36"/>
      <c r="AV164" s="36"/>
      <c r="AW164" s="36"/>
      <c r="AX164" s="36"/>
      <c r="AY164" s="36"/>
      <c r="AZ164" s="36"/>
      <c r="BA164" s="36"/>
      <c r="BB164" s="36"/>
      <c r="BC164" s="36"/>
      <c r="BD164" s="36"/>
      <c r="BE164" s="36"/>
    </row>
    <row r="165" spans="2:57" s="30" customFormat="1" ht="15" x14ac:dyDescent="0.2">
      <c r="B165" s="76" t="s">
        <v>342</v>
      </c>
      <c r="C165" s="471" t="s">
        <v>298</v>
      </c>
      <c r="D165" s="472"/>
      <c r="E165" s="472"/>
      <c r="F165" s="472"/>
      <c r="G165" s="473"/>
      <c r="H165" s="165"/>
      <c r="J165" s="32"/>
      <c r="K165" s="37"/>
      <c r="L165" s="37"/>
      <c r="M165" s="40"/>
      <c r="N165" s="40"/>
      <c r="O165" s="259"/>
      <c r="Q165" s="45"/>
      <c r="R165" s="104"/>
      <c r="S165" s="35"/>
      <c r="T165" s="46" t="str">
        <f>IFERROR(IF(ISNUMBER(L164),"Kohdetieto",VLOOKUP(C165,Kalusto!$C$45:$L$84,7,FALSE)),"--")</f>
        <v>--</v>
      </c>
      <c r="U165" s="46" t="str">
        <f>IFERROR(IF(ISNUMBER(L164),"Kohdetieto",VLOOKUP(C165,Kalusto!$C$45:$L$84,8,FALSE)),"--")</f>
        <v>--</v>
      </c>
      <c r="V165" s="47" t="str">
        <f>IFERROR(IF(ISNUMBER(L164),"Kohdetieto",VLOOKUP(C165,Kalusto!$C$45:$L$84,9,FALSE)),"--")</f>
        <v>--</v>
      </c>
      <c r="W165" s="47" t="str">
        <f>IFERROR(IF(ISNUMBER(L164),"Kohdetieto",VLOOKUP(C165,Kalusto!$C$45:$L$84,10,FALSE)),"--")</f>
        <v>--</v>
      </c>
      <c r="X165" s="48" t="str">
        <f>IF(ISBLANK(C163),"",C163/1000)</f>
        <v/>
      </c>
      <c r="Y165" s="46" t="str">
        <f>IF(ISNUMBER(G164),G164,"")</f>
        <v/>
      </c>
      <c r="Z165" s="49" t="str">
        <f>IF(ISNUMBER(L164),L164,K164)</f>
        <v>--</v>
      </c>
      <c r="AA165" s="35"/>
      <c r="AB165" s="104"/>
      <c r="AC165" s="35"/>
      <c r="AD165" s="35"/>
      <c r="AE165" s="35"/>
      <c r="AF165" s="35"/>
      <c r="AG165" s="35"/>
      <c r="AH165" s="35"/>
      <c r="AI165" s="35"/>
      <c r="AJ165" s="35"/>
      <c r="AK165" s="35"/>
      <c r="AL165" s="35"/>
      <c r="AM165" s="35"/>
      <c r="AN165" s="36"/>
      <c r="AO165" s="36"/>
      <c r="AP165" s="36"/>
      <c r="AQ165" s="36"/>
      <c r="AR165" s="36"/>
      <c r="AS165" s="36"/>
      <c r="AT165" s="36"/>
      <c r="AU165" s="36"/>
      <c r="AV165" s="36"/>
      <c r="AW165" s="36"/>
      <c r="AX165" s="36"/>
      <c r="AY165" s="36"/>
      <c r="AZ165" s="36"/>
      <c r="BA165" s="36"/>
      <c r="BB165" s="36"/>
      <c r="BC165" s="36"/>
      <c r="BD165" s="36"/>
      <c r="BE165" s="36"/>
    </row>
    <row r="166" spans="2:57" s="30" customFormat="1" ht="15" x14ac:dyDescent="0.2">
      <c r="B166" s="76" t="s">
        <v>457</v>
      </c>
      <c r="C166" s="156" t="s">
        <v>309</v>
      </c>
      <c r="D166" s="33"/>
      <c r="E166" s="33"/>
      <c r="F166" s="33"/>
      <c r="G166" s="33"/>
      <c r="H166" s="57"/>
      <c r="J166" s="169"/>
      <c r="K166" s="169" t="s">
        <v>297</v>
      </c>
      <c r="L166" s="169" t="s">
        <v>185</v>
      </c>
      <c r="M166" s="40"/>
      <c r="N166" s="40"/>
      <c r="O166" s="259"/>
      <c r="Q166" s="45"/>
      <c r="R166" s="35"/>
      <c r="S166" s="35"/>
      <c r="T166" s="35"/>
      <c r="U166" s="35"/>
      <c r="V166" s="177"/>
      <c r="W166" s="177"/>
      <c r="X166" s="59"/>
      <c r="Y166" s="35"/>
      <c r="Z166" s="59"/>
      <c r="AA166" s="178"/>
      <c r="AB166" s="59"/>
      <c r="AC166" s="59"/>
      <c r="AD166" s="59"/>
      <c r="AE166" s="59"/>
      <c r="AF166" s="178"/>
      <c r="AG166" s="59"/>
      <c r="AH166" s="35"/>
      <c r="AI166" s="35"/>
      <c r="AJ166" s="35"/>
      <c r="AK166" s="104"/>
      <c r="AL166" s="35"/>
      <c r="AM166" s="35"/>
      <c r="AN166" s="36"/>
      <c r="AO166" s="36"/>
      <c r="AP166" s="36"/>
      <c r="AQ166" s="36"/>
      <c r="AR166" s="36"/>
      <c r="AS166" s="36"/>
      <c r="AT166" s="36"/>
      <c r="AU166" s="36"/>
      <c r="AV166" s="36"/>
      <c r="AW166" s="36"/>
      <c r="AX166" s="36"/>
      <c r="AY166" s="36"/>
      <c r="AZ166" s="36"/>
      <c r="BA166" s="36"/>
      <c r="BB166" s="36"/>
      <c r="BC166" s="36"/>
      <c r="BD166" s="36"/>
      <c r="BE166" s="36"/>
    </row>
    <row r="167" spans="2:57" s="30" customFormat="1" ht="15" x14ac:dyDescent="0.2">
      <c r="B167" s="151" t="s">
        <v>491</v>
      </c>
      <c r="C167" s="474" t="s">
        <v>739</v>
      </c>
      <c r="D167" s="474"/>
      <c r="G167" s="152"/>
      <c r="H167" s="81" t="s">
        <v>5</v>
      </c>
      <c r="J167" s="32" t="str">
        <f>IFERROR(VLOOKUP(C167,Kalusto!$B$107:$C$110,2,FALSE),"Valitse kuljetustapa")</f>
        <v>Valitse kuljetustapa</v>
      </c>
      <c r="K167" s="92" t="str">
        <f>IFERROR(IF(ISNUMBER(L167),L167,VLOOKUP(J167,Kalusto!$C$107:$G$110,5,FALSE)),"--")</f>
        <v>--</v>
      </c>
      <c r="L167" s="39"/>
      <c r="M167" s="40" t="s">
        <v>184</v>
      </c>
      <c r="N167" s="40"/>
      <c r="O167" s="259"/>
      <c r="Q167" s="34"/>
      <c r="R167" s="48" t="str">
        <f>IF(AND(ISNUMBER(G167)*ISNUMBER(C163)),K167*G167*X165,"")</f>
        <v/>
      </c>
      <c r="S167" s="98" t="s">
        <v>160</v>
      </c>
      <c r="T167" s="35"/>
      <c r="U167" s="35"/>
      <c r="V167" s="35"/>
      <c r="W167" s="35"/>
      <c r="X167" s="35"/>
      <c r="Y167" s="35"/>
      <c r="Z167" s="35"/>
      <c r="AA167" s="35"/>
      <c r="AB167" s="104"/>
      <c r="AC167" s="35"/>
      <c r="AD167" s="35"/>
      <c r="AE167" s="35"/>
      <c r="AF167" s="35"/>
      <c r="AG167" s="35"/>
      <c r="AH167" s="35"/>
      <c r="AI167" s="35"/>
      <c r="AJ167" s="35"/>
      <c r="AK167" s="35"/>
      <c r="AL167" s="35"/>
      <c r="AM167" s="35"/>
      <c r="AN167" s="36"/>
      <c r="AO167" s="36"/>
      <c r="AP167" s="36"/>
      <c r="AQ167" s="36"/>
      <c r="AR167" s="36"/>
      <c r="AS167" s="36"/>
      <c r="AT167" s="36"/>
      <c r="AU167" s="36"/>
      <c r="AV167" s="36"/>
      <c r="AW167" s="36"/>
      <c r="AX167" s="36"/>
      <c r="AY167" s="36"/>
      <c r="AZ167" s="36"/>
      <c r="BA167" s="36"/>
      <c r="BB167" s="36"/>
      <c r="BC167" s="36"/>
      <c r="BD167" s="36"/>
      <c r="BE167" s="36"/>
    </row>
    <row r="168" spans="2:57" s="30" customFormat="1" ht="15" x14ac:dyDescent="0.2">
      <c r="B168" s="151" t="s">
        <v>491</v>
      </c>
      <c r="C168" s="474" t="s">
        <v>739</v>
      </c>
      <c r="D168" s="474"/>
      <c r="G168" s="152"/>
      <c r="H168" s="81" t="s">
        <v>5</v>
      </c>
      <c r="J168" s="32" t="str">
        <f>IFERROR(VLOOKUP(C168,Kalusto!$B$107:$C$110,2,FALSE),"Valitse kuljetustapa")</f>
        <v>Valitse kuljetustapa</v>
      </c>
      <c r="K168" s="92" t="str">
        <f>IFERROR(IF(ISNUMBER(L168),L168,VLOOKUP(J168,Kalusto!$C$107:$G$110,5,FALSE)),"--")</f>
        <v>--</v>
      </c>
      <c r="L168" s="39"/>
      <c r="M168" s="40" t="s">
        <v>184</v>
      </c>
      <c r="N168" s="40"/>
      <c r="O168" s="259"/>
      <c r="Q168" s="34"/>
      <c r="R168" s="48" t="str">
        <f>IF(AND(ISNUMBER(G17)*ISNUMBER(C163)),K168*G168*X165,"")</f>
        <v/>
      </c>
      <c r="S168" s="98" t="s">
        <v>160</v>
      </c>
      <c r="T168" s="35"/>
      <c r="U168" s="35"/>
      <c r="V168" s="35"/>
      <c r="W168" s="35"/>
      <c r="X168" s="35"/>
      <c r="Y168" s="35"/>
      <c r="Z168" s="35"/>
      <c r="AA168" s="35"/>
      <c r="AB168" s="104"/>
      <c r="AC168" s="35"/>
      <c r="AD168" s="35"/>
      <c r="AE168" s="35"/>
      <c r="AF168" s="35"/>
      <c r="AG168" s="35"/>
      <c r="AH168" s="35"/>
      <c r="AI168" s="35"/>
      <c r="AJ168" s="35"/>
      <c r="AK168" s="35"/>
      <c r="AL168" s="35"/>
      <c r="AM168" s="35"/>
      <c r="AN168" s="36"/>
      <c r="AO168" s="36"/>
      <c r="AP168" s="36"/>
      <c r="AQ168" s="36"/>
      <c r="AR168" s="36"/>
      <c r="AS168" s="36"/>
      <c r="AT168" s="36"/>
      <c r="AU168" s="36"/>
      <c r="AV168" s="36"/>
      <c r="AW168" s="36"/>
      <c r="AX168" s="36"/>
      <c r="AY168" s="36"/>
      <c r="AZ168" s="36"/>
      <c r="BA168" s="36"/>
      <c r="BB168" s="36"/>
      <c r="BC168" s="36"/>
      <c r="BD168" s="36"/>
      <c r="BE168" s="36"/>
    </row>
    <row r="169" spans="2:57" s="30" customFormat="1" ht="15" x14ac:dyDescent="0.2">
      <c r="B169" s="151" t="s">
        <v>491</v>
      </c>
      <c r="C169" s="474" t="s">
        <v>739</v>
      </c>
      <c r="D169" s="474"/>
      <c r="G169" s="152"/>
      <c r="H169" s="81" t="s">
        <v>5</v>
      </c>
      <c r="J169" s="32" t="str">
        <f>IFERROR(VLOOKUP(C169,Kalusto!$B$107:$C$110,2,FALSE),"Valitse kuljetustapa")</f>
        <v>Valitse kuljetustapa</v>
      </c>
      <c r="K169" s="92" t="str">
        <f>IFERROR(IF(ISNUMBER(L169),L169,VLOOKUP(J169,Kalusto!$C$107:$G$110,5,FALSE)),"--")</f>
        <v>--</v>
      </c>
      <c r="L169" s="39"/>
      <c r="M169" s="40" t="s">
        <v>184</v>
      </c>
      <c r="N169" s="40"/>
      <c r="O169" s="259"/>
      <c r="Q169" s="34"/>
      <c r="R169" s="48" t="str">
        <f>IF(AND(ISNUMBER(G169)*ISNUMBER(C163)),K169*G169*X165,"")</f>
        <v/>
      </c>
      <c r="S169" s="98" t="s">
        <v>160</v>
      </c>
      <c r="T169" s="35"/>
      <c r="U169" s="35"/>
      <c r="V169" s="35"/>
      <c r="W169" s="35"/>
      <c r="X169" s="35"/>
      <c r="Y169" s="35"/>
      <c r="Z169" s="35"/>
      <c r="AA169" s="35"/>
      <c r="AB169" s="104"/>
      <c r="AC169" s="35"/>
      <c r="AD169" s="35"/>
      <c r="AE169" s="35"/>
      <c r="AF169" s="35"/>
      <c r="AG169" s="35"/>
      <c r="AH169" s="35"/>
      <c r="AI169" s="35"/>
      <c r="AJ169" s="35"/>
      <c r="AK169" s="35"/>
      <c r="AL169" s="35"/>
      <c r="AM169" s="35"/>
      <c r="AN169" s="36"/>
      <c r="AO169" s="36"/>
      <c r="AP169" s="36"/>
      <c r="AQ169" s="36"/>
      <c r="AR169" s="36"/>
      <c r="AS169" s="36"/>
      <c r="AT169" s="36"/>
      <c r="AU169" s="36"/>
      <c r="AV169" s="36"/>
      <c r="AW169" s="36"/>
      <c r="AX169" s="36"/>
      <c r="AY169" s="36"/>
      <c r="AZ169" s="36"/>
      <c r="BA169" s="36"/>
      <c r="BB169" s="36"/>
      <c r="BC169" s="36"/>
      <c r="BD169" s="36"/>
      <c r="BE169" s="36"/>
    </row>
    <row r="170" spans="2:57" s="30" customFormat="1" ht="15.75" x14ac:dyDescent="0.2">
      <c r="B170" s="8" t="str">
        <f>B134</f>
        <v>Kemikaali-, tuote- tai materiaalilaji 4</v>
      </c>
      <c r="C170" s="33"/>
      <c r="D170" s="81"/>
      <c r="G170" s="70"/>
      <c r="H170" s="81"/>
      <c r="J170" s="32"/>
      <c r="K170" s="33"/>
      <c r="L170" s="33"/>
      <c r="M170" s="81"/>
      <c r="N170" s="81"/>
      <c r="O170" s="96"/>
      <c r="Q170" s="34"/>
      <c r="R170" s="35" t="s">
        <v>318</v>
      </c>
      <c r="S170" s="35"/>
      <c r="T170" s="35"/>
      <c r="U170" s="35"/>
      <c r="V170" s="35"/>
      <c r="W170" s="35"/>
      <c r="X170" s="35"/>
      <c r="Y170" s="35"/>
      <c r="Z170" s="35"/>
      <c r="AA170" s="35"/>
      <c r="AB170" s="104"/>
      <c r="AC170" s="35"/>
      <c r="AD170" s="35"/>
      <c r="AE170" s="35"/>
      <c r="AF170" s="35"/>
      <c r="AG170" s="35"/>
      <c r="AH170" s="35"/>
      <c r="AI170" s="35"/>
      <c r="AJ170" s="35"/>
      <c r="AK170" s="35"/>
      <c r="AL170" s="35"/>
      <c r="AM170" s="35"/>
      <c r="AN170" s="36"/>
      <c r="AO170" s="36"/>
      <c r="AP170" s="36"/>
      <c r="AQ170" s="36"/>
      <c r="AR170" s="36"/>
      <c r="AS170" s="36"/>
      <c r="AT170" s="36"/>
      <c r="AU170" s="36"/>
      <c r="AV170" s="36"/>
      <c r="AW170" s="36"/>
      <c r="AX170" s="36"/>
      <c r="AY170" s="36"/>
      <c r="AZ170" s="36"/>
      <c r="BA170" s="36"/>
      <c r="BB170" s="36"/>
      <c r="BC170" s="36"/>
      <c r="BD170" s="36"/>
      <c r="BE170" s="36"/>
    </row>
    <row r="171" spans="2:57" s="30" customFormat="1" ht="15" x14ac:dyDescent="0.2">
      <c r="B171" s="52" t="s">
        <v>340</v>
      </c>
      <c r="C171" s="152"/>
      <c r="D171" s="81" t="s">
        <v>252</v>
      </c>
      <c r="G171" s="33"/>
      <c r="H171" s="81"/>
      <c r="J171" s="32"/>
      <c r="K171" s="37" t="s">
        <v>297</v>
      </c>
      <c r="L171" s="37" t="s">
        <v>185</v>
      </c>
      <c r="M171" s="81"/>
      <c r="N171" s="81"/>
      <c r="O171" s="96"/>
      <c r="Q171" s="34"/>
      <c r="R171" s="48" t="str">
        <f>IF(AND(ISNUMBER(G172),ISNUMBER(C171)),SUM(R172,R175:R177),"")</f>
        <v/>
      </c>
      <c r="S171" s="98" t="s">
        <v>160</v>
      </c>
      <c r="T171" s="35"/>
      <c r="U171" s="35"/>
      <c r="V171" s="35"/>
      <c r="W171" s="35"/>
      <c r="X171" s="35"/>
      <c r="Y171" s="35"/>
      <c r="Z171" s="35"/>
      <c r="AA171" s="35"/>
      <c r="AB171" s="104"/>
      <c r="AC171" s="35"/>
      <c r="AD171" s="35"/>
      <c r="AE171" s="35"/>
      <c r="AF171" s="35"/>
      <c r="AG171" s="35"/>
      <c r="AH171" s="35"/>
      <c r="AI171" s="35"/>
      <c r="AJ171" s="35"/>
      <c r="AK171" s="35"/>
      <c r="AL171" s="35"/>
      <c r="AM171" s="35"/>
      <c r="AN171" s="36"/>
      <c r="AO171" s="36"/>
      <c r="AP171" s="36"/>
      <c r="AQ171" s="36"/>
      <c r="AR171" s="36"/>
      <c r="AS171" s="36"/>
      <c r="AT171" s="36"/>
      <c r="AU171" s="36"/>
      <c r="AV171" s="36"/>
      <c r="AW171" s="36"/>
      <c r="AX171" s="36"/>
      <c r="AY171" s="36"/>
      <c r="AZ171" s="36"/>
      <c r="BA171" s="36"/>
      <c r="BB171" s="36"/>
      <c r="BC171" s="36"/>
      <c r="BD171" s="36"/>
      <c r="BE171" s="36"/>
    </row>
    <row r="172" spans="2:57" s="30" customFormat="1" ht="30" x14ac:dyDescent="0.2">
      <c r="B172" s="151" t="s">
        <v>660</v>
      </c>
      <c r="C172" s="475" t="s">
        <v>253</v>
      </c>
      <c r="D172" s="476"/>
      <c r="G172" s="152"/>
      <c r="H172" s="81" t="s">
        <v>5</v>
      </c>
      <c r="J172" s="169" t="s">
        <v>395</v>
      </c>
      <c r="K172" s="92" t="str">
        <f>IFERROR(IF(ISNUMBER(L172),L172,(VLOOKUP(C173,Kalusto!$C$45:$G$84,5,FALSE)*(VLOOKUP(C174,Muut!$D$40:$E$43,2,FALSE)))),"--")</f>
        <v>--</v>
      </c>
      <c r="L172" s="39"/>
      <c r="M172" s="40" t="s">
        <v>184</v>
      </c>
      <c r="N172" s="40"/>
      <c r="O172" s="259"/>
      <c r="Q172" s="34"/>
      <c r="R172" s="48" t="str">
        <f>IF(ISNUMBER(Y173*X173*K172),Y173*X173*K172,"")</f>
        <v/>
      </c>
      <c r="S172" s="98" t="s">
        <v>160</v>
      </c>
      <c r="T172" s="35" t="s">
        <v>400</v>
      </c>
      <c r="U172" s="35" t="s">
        <v>349</v>
      </c>
      <c r="V172" s="35" t="s">
        <v>397</v>
      </c>
      <c r="W172" s="35" t="s">
        <v>398</v>
      </c>
      <c r="X172" s="35" t="s">
        <v>401</v>
      </c>
      <c r="Y172" s="35" t="s">
        <v>403</v>
      </c>
      <c r="Z172" s="35" t="s">
        <v>339</v>
      </c>
      <c r="AA172" s="35"/>
      <c r="AB172" s="104"/>
      <c r="AC172" s="35"/>
      <c r="AD172" s="35"/>
      <c r="AE172" s="35"/>
      <c r="AF172" s="35"/>
      <c r="AG172" s="35"/>
      <c r="AH172" s="35"/>
      <c r="AI172" s="35"/>
      <c r="AJ172" s="35"/>
      <c r="AK172" s="35"/>
      <c r="AL172" s="35"/>
      <c r="AM172" s="35"/>
      <c r="AN172" s="36"/>
      <c r="AO172" s="36"/>
      <c r="AP172" s="36"/>
      <c r="AQ172" s="36"/>
      <c r="AR172" s="36"/>
      <c r="AS172" s="36"/>
      <c r="AT172" s="36"/>
      <c r="AU172" s="36"/>
      <c r="AV172" s="36"/>
      <c r="AW172" s="36"/>
      <c r="AX172" s="36"/>
      <c r="AY172" s="36"/>
      <c r="AZ172" s="36"/>
      <c r="BA172" s="36"/>
      <c r="BB172" s="36"/>
      <c r="BC172" s="36"/>
      <c r="BD172" s="36"/>
      <c r="BE172" s="36"/>
    </row>
    <row r="173" spans="2:57" s="30" customFormat="1" ht="15" x14ac:dyDescent="0.2">
      <c r="B173" s="76" t="s">
        <v>342</v>
      </c>
      <c r="C173" s="471" t="s">
        <v>298</v>
      </c>
      <c r="D173" s="472"/>
      <c r="E173" s="472"/>
      <c r="F173" s="472"/>
      <c r="G173" s="473"/>
      <c r="J173" s="32"/>
      <c r="K173" s="37"/>
      <c r="L173" s="37"/>
      <c r="M173" s="40"/>
      <c r="N173" s="40"/>
      <c r="O173" s="259"/>
      <c r="Q173" s="45"/>
      <c r="R173" s="104"/>
      <c r="S173" s="35"/>
      <c r="T173" s="46" t="str">
        <f>IFERROR(IF(ISNUMBER(L172),"Kohdetieto",VLOOKUP(C173,Kalusto!$C$45:$L$84,7,FALSE)),"--")</f>
        <v>--</v>
      </c>
      <c r="U173" s="46" t="str">
        <f>IFERROR(IF(ISNUMBER(L172),"Kohdetieto",VLOOKUP(C173,Kalusto!$C$45:$L$84,8,FALSE)),"--")</f>
        <v>--</v>
      </c>
      <c r="V173" s="47" t="str">
        <f>IFERROR(IF(ISNUMBER(L172),"Kohdetieto",VLOOKUP(C173,Kalusto!$C$45:$L$84,9,FALSE)),"--")</f>
        <v>--</v>
      </c>
      <c r="W173" s="47" t="str">
        <f>IFERROR(IF(ISNUMBER(L172),"Kohdetieto",VLOOKUP(C173,Kalusto!$C$45:$L$84,10,FALSE)),"--")</f>
        <v>--</v>
      </c>
      <c r="X173" s="48" t="str">
        <f>IF(ISBLANK(C171),"",C171/1000)</f>
        <v/>
      </c>
      <c r="Y173" s="46" t="str">
        <f>IF(ISNUMBER(G172),G172,"")</f>
        <v/>
      </c>
      <c r="Z173" s="49" t="str">
        <f>IF(ISNUMBER(L172),L172,K172)</f>
        <v>--</v>
      </c>
      <c r="AA173" s="35"/>
      <c r="AB173" s="104"/>
      <c r="AC173" s="35"/>
      <c r="AD173" s="35"/>
      <c r="AE173" s="35"/>
      <c r="AF173" s="35"/>
      <c r="AG173" s="35"/>
      <c r="AH173" s="35"/>
      <c r="AI173" s="35"/>
      <c r="AJ173" s="35"/>
      <c r="AK173" s="35"/>
      <c r="AL173" s="35"/>
      <c r="AM173" s="35"/>
      <c r="AN173" s="36"/>
      <c r="AO173" s="36"/>
      <c r="AP173" s="36"/>
      <c r="AQ173" s="36"/>
      <c r="AR173" s="36"/>
      <c r="AS173" s="36"/>
      <c r="AT173" s="36"/>
      <c r="AU173" s="36"/>
      <c r="AV173" s="36"/>
      <c r="AW173" s="36"/>
      <c r="AX173" s="36"/>
      <c r="AY173" s="36"/>
      <c r="AZ173" s="36"/>
      <c r="BA173" s="36"/>
      <c r="BB173" s="36"/>
      <c r="BC173" s="36"/>
      <c r="BD173" s="36"/>
      <c r="BE173" s="36"/>
    </row>
    <row r="174" spans="2:57" s="30" customFormat="1" ht="15" x14ac:dyDescent="0.2">
      <c r="B174" s="76" t="s">
        <v>457</v>
      </c>
      <c r="C174" s="156" t="s">
        <v>309</v>
      </c>
      <c r="D174" s="33"/>
      <c r="E174" s="33"/>
      <c r="F174" s="33"/>
      <c r="G174" s="33"/>
      <c r="H174" s="57"/>
      <c r="J174" s="169"/>
      <c r="K174" s="169" t="s">
        <v>297</v>
      </c>
      <c r="L174" s="169" t="s">
        <v>185</v>
      </c>
      <c r="M174" s="40"/>
      <c r="N174" s="40"/>
      <c r="O174" s="259"/>
      <c r="Q174" s="45"/>
      <c r="R174" s="35"/>
      <c r="S174" s="35"/>
      <c r="T174" s="35"/>
      <c r="U174" s="35"/>
      <c r="V174" s="177"/>
      <c r="W174" s="177"/>
      <c r="X174" s="59"/>
      <c r="Y174" s="35"/>
      <c r="Z174" s="59"/>
      <c r="AA174" s="178"/>
      <c r="AB174" s="59"/>
      <c r="AC174" s="59"/>
      <c r="AD174" s="59"/>
      <c r="AE174" s="59"/>
      <c r="AF174" s="178"/>
      <c r="AG174" s="59"/>
      <c r="AH174" s="35"/>
      <c r="AI174" s="35"/>
      <c r="AJ174" s="35"/>
      <c r="AK174" s="104"/>
      <c r="AL174" s="35"/>
      <c r="AM174" s="35"/>
      <c r="AN174" s="36"/>
      <c r="AO174" s="36"/>
      <c r="AP174" s="36"/>
      <c r="AQ174" s="36"/>
      <c r="AR174" s="36"/>
      <c r="AS174" s="36"/>
      <c r="AT174" s="36"/>
      <c r="AU174" s="36"/>
      <c r="AV174" s="36"/>
      <c r="AW174" s="36"/>
      <c r="AX174" s="36"/>
      <c r="AY174" s="36"/>
      <c r="AZ174" s="36"/>
      <c r="BA174" s="36"/>
      <c r="BB174" s="36"/>
      <c r="BC174" s="36"/>
      <c r="BD174" s="36"/>
      <c r="BE174" s="36"/>
    </row>
    <row r="175" spans="2:57" s="30" customFormat="1" ht="15" x14ac:dyDescent="0.2">
      <c r="B175" s="151" t="s">
        <v>492</v>
      </c>
      <c r="C175" s="474" t="s">
        <v>739</v>
      </c>
      <c r="D175" s="474"/>
      <c r="G175" s="152"/>
      <c r="H175" s="81" t="s">
        <v>5</v>
      </c>
      <c r="J175" s="32" t="str">
        <f>IFERROR(VLOOKUP(C175,Kalusto!$B$107:$C$110,2,FALSE),"Valitse kuljetustapa")</f>
        <v>Valitse kuljetustapa</v>
      </c>
      <c r="K175" s="92" t="str">
        <f>IFERROR(IF(ISNUMBER(L175),L175,VLOOKUP(J175,Kalusto!$C$107:$G$110,5,FALSE)),"--")</f>
        <v>--</v>
      </c>
      <c r="L175" s="39"/>
      <c r="M175" s="40" t="s">
        <v>184</v>
      </c>
      <c r="N175" s="40"/>
      <c r="O175" s="259"/>
      <c r="Q175" s="34"/>
      <c r="R175" s="48" t="str">
        <f>IF(AND(ISNUMBER(G175)*ISNUMBER(C171)),K175*G175*X173,"")</f>
        <v/>
      </c>
      <c r="S175" s="98" t="s">
        <v>160</v>
      </c>
      <c r="T175" s="35"/>
      <c r="U175" s="35"/>
      <c r="V175" s="35"/>
      <c r="W175" s="35"/>
      <c r="X175" s="35"/>
      <c r="Y175" s="35"/>
      <c r="Z175" s="35"/>
      <c r="AA175" s="35"/>
      <c r="AB175" s="104"/>
      <c r="AC175" s="35"/>
      <c r="AD175" s="35"/>
      <c r="AE175" s="35"/>
      <c r="AF175" s="35"/>
      <c r="AG175" s="35"/>
      <c r="AH175" s="35"/>
      <c r="AI175" s="35"/>
      <c r="AJ175" s="35"/>
      <c r="AK175" s="35"/>
      <c r="AL175" s="35"/>
      <c r="AM175" s="35"/>
      <c r="AN175" s="36"/>
      <c r="AO175" s="36"/>
      <c r="AP175" s="36"/>
      <c r="AQ175" s="36"/>
      <c r="AR175" s="36"/>
      <c r="AS175" s="36"/>
      <c r="AT175" s="36"/>
      <c r="AU175" s="36"/>
      <c r="AV175" s="36"/>
      <c r="AW175" s="36"/>
      <c r="AX175" s="36"/>
      <c r="AY175" s="36"/>
      <c r="AZ175" s="36"/>
      <c r="BA175" s="36"/>
      <c r="BB175" s="36"/>
      <c r="BC175" s="36"/>
      <c r="BD175" s="36"/>
      <c r="BE175" s="36"/>
    </row>
    <row r="176" spans="2:57" s="30" customFormat="1" ht="15" x14ac:dyDescent="0.2">
      <c r="B176" s="151" t="s">
        <v>492</v>
      </c>
      <c r="C176" s="474" t="s">
        <v>739</v>
      </c>
      <c r="D176" s="474"/>
      <c r="G176" s="152"/>
      <c r="H176" s="81" t="s">
        <v>5</v>
      </c>
      <c r="J176" s="32" t="str">
        <f>IFERROR(VLOOKUP(C176,Kalusto!$B$107:$C$110,2,FALSE),"Valitse kuljetustapa")</f>
        <v>Valitse kuljetustapa</v>
      </c>
      <c r="K176" s="92" t="str">
        <f>IFERROR(IF(ISNUMBER(L176),L176,VLOOKUP(J176,Kalusto!$C$107:$G$110,5,FALSE)),"--")</f>
        <v>--</v>
      </c>
      <c r="L176" s="39"/>
      <c r="M176" s="40" t="s">
        <v>184</v>
      </c>
      <c r="N176" s="40"/>
      <c r="O176" s="259"/>
      <c r="Q176" s="34"/>
      <c r="R176" s="48" t="str">
        <f>IF(AND(ISNUMBER(G176)*ISNUMBER(C171)),K176*G176*X173,"")</f>
        <v/>
      </c>
      <c r="S176" s="98" t="s">
        <v>160</v>
      </c>
      <c r="T176" s="35"/>
      <c r="U176" s="35"/>
      <c r="V176" s="35"/>
      <c r="W176" s="35"/>
      <c r="X176" s="35"/>
      <c r="Y176" s="35"/>
      <c r="Z176" s="35"/>
      <c r="AA176" s="35"/>
      <c r="AB176" s="104"/>
      <c r="AC176" s="35"/>
      <c r="AD176" s="35"/>
      <c r="AE176" s="35"/>
      <c r="AF176" s="35"/>
      <c r="AG176" s="35"/>
      <c r="AH176" s="35"/>
      <c r="AI176" s="35"/>
      <c r="AJ176" s="35"/>
      <c r="AK176" s="35"/>
      <c r="AL176" s="35"/>
      <c r="AM176" s="35"/>
      <c r="AN176" s="36"/>
      <c r="AO176" s="36"/>
      <c r="AP176" s="36"/>
      <c r="AQ176" s="36"/>
      <c r="AR176" s="36"/>
      <c r="AS176" s="36"/>
      <c r="AT176" s="36"/>
      <c r="AU176" s="36"/>
      <c r="AV176" s="36"/>
      <c r="AW176" s="36"/>
      <c r="AX176" s="36"/>
      <c r="AY176" s="36"/>
      <c r="AZ176" s="36"/>
      <c r="BA176" s="36"/>
      <c r="BB176" s="36"/>
      <c r="BC176" s="36"/>
      <c r="BD176" s="36"/>
      <c r="BE176" s="36"/>
    </row>
    <row r="177" spans="2:59" s="30" customFormat="1" ht="15" x14ac:dyDescent="0.2">
      <c r="B177" s="151" t="s">
        <v>492</v>
      </c>
      <c r="C177" s="474" t="s">
        <v>739</v>
      </c>
      <c r="D177" s="474"/>
      <c r="G177" s="152"/>
      <c r="H177" s="81" t="s">
        <v>5</v>
      </c>
      <c r="J177" s="32" t="str">
        <f>IFERROR(VLOOKUP(C177,Kalusto!$B$107:$C$110,2,FALSE),"Valitse kuljetustapa")</f>
        <v>Valitse kuljetustapa</v>
      </c>
      <c r="K177" s="92" t="str">
        <f>IFERROR(IF(ISNUMBER(L177),L177,VLOOKUP(J177,Kalusto!$C$107:$G$110,5,FALSE)),"--")</f>
        <v>--</v>
      </c>
      <c r="L177" s="39"/>
      <c r="M177" s="40" t="s">
        <v>184</v>
      </c>
      <c r="N177" s="40"/>
      <c r="O177" s="259"/>
      <c r="Q177" s="34"/>
      <c r="R177" s="48" t="str">
        <f>IF(AND(ISNUMBER(G177)*ISNUMBER(C171)),K177*G177*X173,"")</f>
        <v/>
      </c>
      <c r="S177" s="98" t="s">
        <v>160</v>
      </c>
      <c r="T177" s="35"/>
      <c r="U177" s="35"/>
      <c r="V177" s="35"/>
      <c r="W177" s="35"/>
      <c r="X177" s="35"/>
      <c r="Y177" s="35"/>
      <c r="Z177" s="35"/>
      <c r="AA177" s="35"/>
      <c r="AB177" s="104"/>
      <c r="AC177" s="35"/>
      <c r="AD177" s="35"/>
      <c r="AE177" s="35"/>
      <c r="AF177" s="35"/>
      <c r="AG177" s="35"/>
      <c r="AH177" s="35"/>
      <c r="AI177" s="35"/>
      <c r="AJ177" s="35"/>
      <c r="AK177" s="35"/>
      <c r="AL177" s="35"/>
      <c r="AM177" s="35"/>
      <c r="AN177" s="36"/>
      <c r="AO177" s="36"/>
      <c r="AP177" s="36"/>
      <c r="AQ177" s="36"/>
      <c r="AR177" s="36"/>
      <c r="AS177" s="36"/>
      <c r="AT177" s="36"/>
      <c r="AU177" s="36"/>
      <c r="AV177" s="36"/>
      <c r="AW177" s="36"/>
      <c r="AX177" s="36"/>
      <c r="AY177" s="36"/>
      <c r="AZ177" s="36"/>
      <c r="BA177" s="36"/>
      <c r="BB177" s="36"/>
      <c r="BC177" s="36"/>
      <c r="BD177" s="36"/>
      <c r="BE177" s="36"/>
    </row>
    <row r="178" spans="2:59" s="30" customFormat="1" ht="15.75" x14ac:dyDescent="0.2">
      <c r="B178" s="8" t="str">
        <f>B137</f>
        <v>Kemikaali-, tuote- tai materiaalilaji 5</v>
      </c>
      <c r="C178" s="33"/>
      <c r="D178" s="81"/>
      <c r="G178" s="70"/>
      <c r="H178" s="81"/>
      <c r="J178" s="32"/>
      <c r="K178" s="33"/>
      <c r="L178" s="33"/>
      <c r="M178" s="81"/>
      <c r="N178" s="81"/>
      <c r="O178" s="96"/>
      <c r="Q178" s="34"/>
      <c r="R178" s="35" t="s">
        <v>318</v>
      </c>
      <c r="S178" s="35"/>
      <c r="T178" s="35"/>
      <c r="U178" s="35"/>
      <c r="V178" s="35"/>
      <c r="W178" s="35"/>
      <c r="X178" s="35"/>
      <c r="Y178" s="35"/>
      <c r="Z178" s="35"/>
      <c r="AA178" s="35"/>
      <c r="AB178" s="104"/>
      <c r="AC178" s="35"/>
      <c r="AD178" s="35"/>
      <c r="AE178" s="35"/>
      <c r="AF178" s="35"/>
      <c r="AG178" s="35"/>
      <c r="AH178" s="35"/>
      <c r="AI178" s="35"/>
      <c r="AJ178" s="35"/>
      <c r="AK178" s="35"/>
      <c r="AL178" s="35"/>
      <c r="AM178" s="35"/>
      <c r="AN178" s="36"/>
      <c r="AO178" s="36"/>
      <c r="AP178" s="36"/>
      <c r="AQ178" s="36"/>
      <c r="AR178" s="36"/>
      <c r="AS178" s="36"/>
      <c r="AT178" s="36"/>
      <c r="AU178" s="36"/>
      <c r="AV178" s="36"/>
      <c r="AW178" s="36"/>
      <c r="AX178" s="36"/>
      <c r="AY178" s="36"/>
      <c r="AZ178" s="36"/>
      <c r="BA178" s="36"/>
      <c r="BB178" s="36"/>
      <c r="BC178" s="36"/>
      <c r="BD178" s="36"/>
      <c r="BE178" s="36"/>
    </row>
    <row r="179" spans="2:59" s="30" customFormat="1" ht="15" x14ac:dyDescent="0.2">
      <c r="B179" s="52" t="s">
        <v>256</v>
      </c>
      <c r="C179" s="152"/>
      <c r="D179" s="81" t="s">
        <v>252</v>
      </c>
      <c r="G179" s="33"/>
      <c r="H179" s="81"/>
      <c r="J179" s="32"/>
      <c r="K179" s="37" t="s">
        <v>297</v>
      </c>
      <c r="L179" s="37" t="s">
        <v>185</v>
      </c>
      <c r="M179" s="81"/>
      <c r="N179" s="81"/>
      <c r="O179" s="96"/>
      <c r="Q179" s="34"/>
      <c r="R179" s="48" t="str">
        <f>IF(AND(ISNUMBER(G180),ISNUMBER(C179)),SUM(R180,R183:R185),"")</f>
        <v/>
      </c>
      <c r="S179" s="98" t="s">
        <v>160</v>
      </c>
      <c r="T179" s="35"/>
      <c r="U179" s="35"/>
      <c r="V179" s="35"/>
      <c r="W179" s="35"/>
      <c r="X179" s="35"/>
      <c r="Y179" s="35"/>
      <c r="Z179" s="35"/>
      <c r="AA179" s="35"/>
      <c r="AB179" s="104"/>
      <c r="AC179" s="35"/>
      <c r="AD179" s="35"/>
      <c r="AE179" s="35"/>
      <c r="AF179" s="35"/>
      <c r="AG179" s="35"/>
      <c r="AH179" s="35"/>
      <c r="AI179" s="35"/>
      <c r="AJ179" s="35"/>
      <c r="AK179" s="35"/>
      <c r="AL179" s="35"/>
      <c r="AM179" s="35"/>
      <c r="AN179" s="36"/>
      <c r="AO179" s="36"/>
      <c r="AP179" s="36"/>
      <c r="AQ179" s="36"/>
      <c r="AR179" s="36"/>
      <c r="AS179" s="36"/>
      <c r="AT179" s="36"/>
      <c r="AU179" s="36"/>
      <c r="AV179" s="36"/>
      <c r="AW179" s="36"/>
      <c r="AX179" s="36"/>
      <c r="AY179" s="36"/>
      <c r="AZ179" s="36"/>
      <c r="BA179" s="36"/>
      <c r="BB179" s="36"/>
      <c r="BC179" s="36"/>
      <c r="BD179" s="36"/>
      <c r="BE179" s="36"/>
    </row>
    <row r="180" spans="2:59" s="30" customFormat="1" ht="30" x14ac:dyDescent="0.2">
      <c r="B180" s="151" t="s">
        <v>660</v>
      </c>
      <c r="C180" s="475" t="s">
        <v>253</v>
      </c>
      <c r="D180" s="476"/>
      <c r="G180" s="152"/>
      <c r="H180" s="81" t="s">
        <v>5</v>
      </c>
      <c r="J180" s="169" t="s">
        <v>395</v>
      </c>
      <c r="K180" s="92" t="str">
        <f>IFERROR(IF(ISNUMBER(L180),L180,(VLOOKUP(C181,Kalusto!$C$45:$G$84,5,FALSE)*(VLOOKUP(C182,Muut!$D$40:$E$43,2,FALSE)))),"--")</f>
        <v>--</v>
      </c>
      <c r="L180" s="39"/>
      <c r="M180" s="40" t="s">
        <v>184</v>
      </c>
      <c r="N180" s="40"/>
      <c r="O180" s="259"/>
      <c r="Q180" s="34"/>
      <c r="R180" s="48" t="str">
        <f>IF(ISNUMBER(Y181*X181*K180),Y181*X181*K180,"")</f>
        <v/>
      </c>
      <c r="S180" s="98" t="s">
        <v>160</v>
      </c>
      <c r="T180" s="35" t="s">
        <v>400</v>
      </c>
      <c r="U180" s="35" t="s">
        <v>349</v>
      </c>
      <c r="V180" s="35" t="s">
        <v>397</v>
      </c>
      <c r="W180" s="35" t="s">
        <v>398</v>
      </c>
      <c r="X180" s="35" t="s">
        <v>401</v>
      </c>
      <c r="Y180" s="35" t="s">
        <v>403</v>
      </c>
      <c r="Z180" s="35" t="s">
        <v>339</v>
      </c>
      <c r="AA180" s="35"/>
      <c r="AB180" s="104"/>
      <c r="AC180" s="35"/>
      <c r="AD180" s="35"/>
      <c r="AE180" s="35"/>
      <c r="AF180" s="35"/>
      <c r="AG180" s="35"/>
      <c r="AH180" s="35"/>
      <c r="AI180" s="35"/>
      <c r="AJ180" s="35"/>
      <c r="AK180" s="35"/>
      <c r="AL180" s="35"/>
      <c r="AM180" s="35"/>
      <c r="AN180" s="36"/>
      <c r="AO180" s="36"/>
      <c r="AP180" s="36"/>
      <c r="AQ180" s="36"/>
      <c r="AR180" s="36"/>
      <c r="AS180" s="36"/>
      <c r="AT180" s="36"/>
      <c r="AU180" s="36"/>
      <c r="AV180" s="36"/>
      <c r="AW180" s="36"/>
      <c r="AX180" s="36"/>
      <c r="AY180" s="36"/>
      <c r="AZ180" s="36"/>
      <c r="BA180" s="36"/>
      <c r="BB180" s="36"/>
      <c r="BC180" s="36"/>
      <c r="BD180" s="36"/>
      <c r="BE180" s="36"/>
    </row>
    <row r="181" spans="2:59" s="30" customFormat="1" ht="15" x14ac:dyDescent="0.2">
      <c r="B181" s="76" t="s">
        <v>342</v>
      </c>
      <c r="C181" s="471" t="s">
        <v>298</v>
      </c>
      <c r="D181" s="472"/>
      <c r="E181" s="472"/>
      <c r="F181" s="472"/>
      <c r="G181" s="473"/>
      <c r="J181" s="32"/>
      <c r="K181" s="37"/>
      <c r="L181" s="37"/>
      <c r="M181" s="40"/>
      <c r="N181" s="40"/>
      <c r="O181" s="259"/>
      <c r="Q181" s="45"/>
      <c r="R181" s="104"/>
      <c r="S181" s="35"/>
      <c r="T181" s="46" t="str">
        <f>IFERROR(IF(ISNUMBER(L180),"Kohdetieto",VLOOKUP(C181,Kalusto!$C$45:$L$84,7,FALSE)),"--")</f>
        <v>--</v>
      </c>
      <c r="U181" s="46" t="str">
        <f>IFERROR(IF(ISNUMBER(L180),"Kohdetieto",VLOOKUP(C181,Kalusto!$C$45:$L$84,8,FALSE)),"--")</f>
        <v>--</v>
      </c>
      <c r="V181" s="47" t="str">
        <f>IFERROR(IF(ISNUMBER(L180),"Kohdetieto",VLOOKUP(C181,Kalusto!$C$45:$L$84,9,FALSE)),"--")</f>
        <v>--</v>
      </c>
      <c r="W181" s="47" t="str">
        <f>IFERROR(IF(ISNUMBER(L180),"Kohdetieto",VLOOKUP(C181,Kalusto!$C$45:$L$84,10,FALSE)),"--")</f>
        <v>--</v>
      </c>
      <c r="X181" s="48" t="str">
        <f>IF(ISBLANK(C179),"",C179/1000)</f>
        <v/>
      </c>
      <c r="Y181" s="46" t="str">
        <f>IF(ISNUMBER(G180),G180,"")</f>
        <v/>
      </c>
      <c r="Z181" s="49" t="str">
        <f>IF(ISNUMBER(L180),L180,K180)</f>
        <v>--</v>
      </c>
      <c r="AA181" s="35"/>
      <c r="AB181" s="104"/>
      <c r="AC181" s="35"/>
      <c r="AD181" s="35"/>
      <c r="AE181" s="35"/>
      <c r="AF181" s="35"/>
      <c r="AG181" s="35"/>
      <c r="AH181" s="35"/>
      <c r="AI181" s="35"/>
      <c r="AJ181" s="35"/>
      <c r="AK181" s="35"/>
      <c r="AL181" s="35"/>
      <c r="AM181" s="35"/>
      <c r="AN181" s="36"/>
      <c r="AO181" s="36"/>
      <c r="AP181" s="36"/>
      <c r="AQ181" s="36"/>
      <c r="AR181" s="36"/>
      <c r="AS181" s="36"/>
      <c r="AT181" s="36"/>
      <c r="AU181" s="36"/>
      <c r="AV181" s="36"/>
      <c r="AW181" s="36"/>
      <c r="AX181" s="36"/>
      <c r="AY181" s="36"/>
      <c r="AZ181" s="36"/>
      <c r="BA181" s="36"/>
      <c r="BB181" s="36"/>
      <c r="BC181" s="36"/>
      <c r="BD181" s="36"/>
      <c r="BE181" s="36"/>
    </row>
    <row r="182" spans="2:59" s="30" customFormat="1" ht="15" x14ac:dyDescent="0.2">
      <c r="B182" s="76" t="s">
        <v>457</v>
      </c>
      <c r="C182" s="156" t="s">
        <v>309</v>
      </c>
      <c r="D182" s="33"/>
      <c r="E182" s="33"/>
      <c r="F182" s="33"/>
      <c r="G182" s="33"/>
      <c r="H182" s="57"/>
      <c r="J182" s="169"/>
      <c r="K182" s="169" t="s">
        <v>297</v>
      </c>
      <c r="L182" s="169" t="s">
        <v>185</v>
      </c>
      <c r="M182" s="40"/>
      <c r="N182" s="40"/>
      <c r="O182" s="259"/>
      <c r="Q182" s="45"/>
      <c r="R182" s="35"/>
      <c r="S182" s="35"/>
      <c r="T182" s="35"/>
      <c r="U182" s="35"/>
      <c r="V182" s="177"/>
      <c r="W182" s="177"/>
      <c r="X182" s="59"/>
      <c r="Y182" s="35"/>
      <c r="Z182" s="59"/>
      <c r="AA182" s="178"/>
      <c r="AB182" s="59"/>
      <c r="AC182" s="59"/>
      <c r="AD182" s="59"/>
      <c r="AE182" s="59"/>
      <c r="AF182" s="178"/>
      <c r="AG182" s="59"/>
      <c r="AH182" s="35"/>
      <c r="AI182" s="35"/>
      <c r="AJ182" s="35"/>
      <c r="AK182" s="104"/>
      <c r="AL182" s="35"/>
      <c r="AM182" s="35"/>
      <c r="AN182" s="36"/>
      <c r="AO182" s="36"/>
      <c r="AP182" s="36"/>
      <c r="AQ182" s="36"/>
      <c r="AR182" s="36"/>
      <c r="AS182" s="36"/>
      <c r="AT182" s="36"/>
      <c r="AU182" s="36"/>
      <c r="AV182" s="36"/>
      <c r="AW182" s="36"/>
      <c r="AX182" s="36"/>
      <c r="AY182" s="36"/>
      <c r="AZ182" s="36"/>
      <c r="BA182" s="36"/>
      <c r="BB182" s="36"/>
      <c r="BC182" s="36"/>
      <c r="BD182" s="36"/>
      <c r="BE182" s="36"/>
    </row>
    <row r="183" spans="2:59" s="30" customFormat="1" ht="15" x14ac:dyDescent="0.2">
      <c r="B183" s="151" t="s">
        <v>492</v>
      </c>
      <c r="C183" s="474" t="s">
        <v>739</v>
      </c>
      <c r="D183" s="474"/>
      <c r="G183" s="152"/>
      <c r="H183" s="81" t="s">
        <v>5</v>
      </c>
      <c r="J183" s="32" t="str">
        <f>IFERROR(VLOOKUP(C183,Kalusto!$B$107:$C$110,2,FALSE),"Valitse kuljetustapa")</f>
        <v>Valitse kuljetustapa</v>
      </c>
      <c r="K183" s="92" t="str">
        <f>IFERROR(IF(ISNUMBER(L183),L183,VLOOKUP(J183,Kalusto!$C$107:$G$110,5,FALSE)),"--")</f>
        <v>--</v>
      </c>
      <c r="L183" s="39"/>
      <c r="M183" s="40" t="s">
        <v>184</v>
      </c>
      <c r="N183" s="40"/>
      <c r="O183" s="259"/>
      <c r="Q183" s="34"/>
      <c r="R183" s="48" t="str">
        <f>IF(AND(ISNUMBER(G183)*ISNUMBER(C179)),K183*G183*X181,"")</f>
        <v/>
      </c>
      <c r="S183" s="98" t="s">
        <v>160</v>
      </c>
      <c r="T183" s="104"/>
      <c r="U183" s="35"/>
      <c r="V183" s="35"/>
      <c r="W183" s="35"/>
      <c r="X183" s="35"/>
      <c r="Y183" s="35"/>
      <c r="Z183" s="35"/>
      <c r="AA183" s="35"/>
      <c r="AB183" s="35"/>
      <c r="AC183" s="35"/>
      <c r="AD183" s="35"/>
      <c r="AE183" s="35"/>
      <c r="AF183" s="35"/>
      <c r="AG183" s="35"/>
      <c r="AH183" s="35"/>
      <c r="AI183" s="35"/>
      <c r="AJ183" s="35"/>
      <c r="AK183" s="35"/>
      <c r="AL183" s="35"/>
      <c r="AM183" s="35"/>
      <c r="AN183" s="36"/>
      <c r="AO183" s="36"/>
      <c r="AP183" s="36"/>
      <c r="AQ183" s="36"/>
      <c r="AR183" s="36"/>
      <c r="AS183" s="36"/>
      <c r="AT183" s="36"/>
      <c r="AU183" s="36"/>
      <c r="AV183" s="36"/>
      <c r="AW183" s="36"/>
      <c r="AX183" s="36"/>
      <c r="AY183" s="36"/>
      <c r="AZ183" s="36"/>
      <c r="BA183" s="36"/>
      <c r="BB183" s="36"/>
      <c r="BC183" s="36"/>
      <c r="BD183" s="36"/>
      <c r="BE183" s="36"/>
    </row>
    <row r="184" spans="2:59" s="30" customFormat="1" ht="15" x14ac:dyDescent="0.2">
      <c r="B184" s="151" t="s">
        <v>492</v>
      </c>
      <c r="C184" s="474" t="s">
        <v>739</v>
      </c>
      <c r="D184" s="474"/>
      <c r="G184" s="152"/>
      <c r="H184" s="81" t="s">
        <v>5</v>
      </c>
      <c r="J184" s="32" t="str">
        <f>IFERROR(VLOOKUP(C184,Kalusto!$B$107:$C$110,2,FALSE),"Valitse kuljetustapa")</f>
        <v>Valitse kuljetustapa</v>
      </c>
      <c r="K184" s="92" t="str">
        <f>IFERROR(IF(ISNUMBER(L184),L184,VLOOKUP(J184,Kalusto!$C$107:$G$110,5,FALSE)),"--")</f>
        <v>--</v>
      </c>
      <c r="L184" s="39"/>
      <c r="M184" s="40" t="s">
        <v>184</v>
      </c>
      <c r="N184" s="40"/>
      <c r="O184" s="259"/>
      <c r="Q184" s="34"/>
      <c r="R184" s="48" t="str">
        <f>IF(AND(ISNUMBER(G184)*ISNUMBER(C179)),K184*G184*X181,"")</f>
        <v/>
      </c>
      <c r="S184" s="98" t="s">
        <v>160</v>
      </c>
      <c r="T184" s="104"/>
      <c r="U184" s="35"/>
      <c r="V184" s="35"/>
      <c r="W184" s="35"/>
      <c r="X184" s="35"/>
      <c r="Y184" s="35"/>
      <c r="Z184" s="35"/>
      <c r="AA184" s="35"/>
      <c r="AB184" s="35"/>
      <c r="AC184" s="35"/>
      <c r="AD184" s="35"/>
      <c r="AE184" s="35"/>
      <c r="AF184" s="35"/>
      <c r="AG184" s="35"/>
      <c r="AH184" s="35"/>
      <c r="AI184" s="35"/>
      <c r="AJ184" s="35"/>
      <c r="AK184" s="35"/>
      <c r="AL184" s="35"/>
      <c r="AM184" s="35"/>
      <c r="AN184" s="36"/>
      <c r="AO184" s="36"/>
      <c r="AP184" s="36"/>
      <c r="AQ184" s="36"/>
      <c r="AR184" s="36"/>
      <c r="AS184" s="36"/>
      <c r="AT184" s="36"/>
      <c r="AU184" s="36"/>
      <c r="AV184" s="36"/>
      <c r="AW184" s="36"/>
      <c r="AX184" s="36"/>
      <c r="AY184" s="36"/>
      <c r="AZ184" s="36"/>
      <c r="BA184" s="36"/>
      <c r="BB184" s="36"/>
      <c r="BC184" s="36"/>
      <c r="BD184" s="36"/>
      <c r="BE184" s="36"/>
    </row>
    <row r="185" spans="2:59" s="30" customFormat="1" ht="15" x14ac:dyDescent="0.2">
      <c r="B185" s="151" t="s">
        <v>492</v>
      </c>
      <c r="C185" s="474" t="s">
        <v>739</v>
      </c>
      <c r="D185" s="474"/>
      <c r="G185" s="152"/>
      <c r="H185" s="81" t="s">
        <v>5</v>
      </c>
      <c r="J185" s="32" t="str">
        <f>IFERROR(VLOOKUP(C185,Kalusto!$B$107:$C$110,2,FALSE),"Valitse kuljetustapa")</f>
        <v>Valitse kuljetustapa</v>
      </c>
      <c r="K185" s="92" t="str">
        <f>IFERROR(IF(ISNUMBER(L185),L185,VLOOKUP(J185,Kalusto!$C$107:$G$110,5,FALSE)),"--")</f>
        <v>--</v>
      </c>
      <c r="L185" s="39"/>
      <c r="M185" s="40" t="s">
        <v>184</v>
      </c>
      <c r="N185" s="40"/>
      <c r="O185" s="259"/>
      <c r="Q185" s="34"/>
      <c r="R185" s="48" t="str">
        <f>IF(AND(ISNUMBER(G185)*ISNUMBER(C179)),K185*G185*X181,"")</f>
        <v/>
      </c>
      <c r="S185" s="98" t="s">
        <v>160</v>
      </c>
      <c r="T185" s="104"/>
      <c r="U185" s="35"/>
      <c r="V185" s="35"/>
      <c r="W185" s="35"/>
      <c r="X185" s="35"/>
      <c r="Y185" s="35"/>
      <c r="Z185" s="35"/>
      <c r="AA185" s="35"/>
      <c r="AB185" s="35"/>
      <c r="AC185" s="35"/>
      <c r="AD185" s="35"/>
      <c r="AE185" s="35"/>
      <c r="AF185" s="35"/>
      <c r="AG185" s="35"/>
      <c r="AH185" s="35"/>
      <c r="AI185" s="35"/>
      <c r="AJ185" s="35"/>
      <c r="AK185" s="35"/>
      <c r="AL185" s="35"/>
      <c r="AM185" s="35"/>
      <c r="AN185" s="36"/>
      <c r="AO185" s="36"/>
      <c r="AP185" s="36"/>
      <c r="AQ185" s="36"/>
      <c r="AR185" s="36"/>
      <c r="AS185" s="36"/>
      <c r="AT185" s="36"/>
      <c r="AU185" s="36"/>
      <c r="AV185" s="36"/>
      <c r="AW185" s="36"/>
      <c r="AX185" s="36"/>
      <c r="AY185" s="36"/>
      <c r="AZ185" s="36"/>
      <c r="BA185" s="36"/>
      <c r="BB185" s="36"/>
      <c r="BC185" s="36"/>
      <c r="BD185" s="36"/>
      <c r="BE185" s="36"/>
    </row>
    <row r="186" spans="2:59" s="30" customFormat="1" ht="15" x14ac:dyDescent="0.2">
      <c r="C186" s="33"/>
      <c r="D186" s="81"/>
      <c r="G186" s="33"/>
      <c r="H186" s="81"/>
      <c r="J186" s="32"/>
      <c r="K186" s="33"/>
      <c r="L186" s="33"/>
      <c r="M186" s="81"/>
      <c r="N186" s="81"/>
      <c r="O186" s="81"/>
      <c r="Q186" s="34"/>
      <c r="R186" s="95"/>
      <c r="S186" s="35"/>
      <c r="T186" s="35"/>
      <c r="U186" s="35"/>
      <c r="V186" s="35"/>
      <c r="W186" s="35"/>
      <c r="X186" s="35"/>
      <c r="Y186" s="35"/>
      <c r="Z186" s="35"/>
      <c r="AA186" s="35"/>
      <c r="AB186" s="35"/>
      <c r="AC186" s="35"/>
      <c r="AD186" s="35"/>
      <c r="AE186" s="35"/>
      <c r="AF186" s="35"/>
      <c r="AG186" s="35"/>
      <c r="AH186" s="35"/>
      <c r="AI186" s="35"/>
      <c r="AJ186" s="35"/>
      <c r="AK186" s="35"/>
      <c r="AL186" s="35"/>
      <c r="AM186" s="35"/>
      <c r="AN186" s="36"/>
      <c r="AO186" s="36"/>
      <c r="AP186" s="36"/>
      <c r="AQ186" s="36"/>
      <c r="AR186" s="36"/>
      <c r="AS186" s="36"/>
      <c r="AT186" s="36"/>
      <c r="AU186" s="36"/>
      <c r="AV186" s="36"/>
      <c r="AW186" s="36"/>
      <c r="AX186" s="36"/>
      <c r="AY186" s="36"/>
      <c r="AZ186" s="36"/>
      <c r="BA186" s="36"/>
      <c r="BB186" s="36"/>
      <c r="BC186" s="36"/>
      <c r="BD186" s="36"/>
      <c r="BE186" s="36"/>
    </row>
    <row r="187" spans="2:59" s="289" customFormat="1" ht="18" x14ac:dyDescent="0.2">
      <c r="B187" s="286" t="s">
        <v>59</v>
      </c>
      <c r="C187" s="287"/>
      <c r="D187" s="288"/>
      <c r="G187" s="287"/>
      <c r="H187" s="288"/>
      <c r="K187" s="287"/>
      <c r="L187" s="287"/>
      <c r="M187" s="288"/>
      <c r="N187" s="288"/>
      <c r="O187" s="291"/>
      <c r="P187" s="311"/>
      <c r="Q187" s="295"/>
      <c r="S187" s="294"/>
      <c r="T187" s="294"/>
      <c r="U187" s="294"/>
      <c r="V187" s="294"/>
      <c r="W187" s="294"/>
      <c r="X187" s="294"/>
      <c r="Y187" s="294"/>
      <c r="Z187" s="294"/>
      <c r="AA187" s="294"/>
      <c r="AB187" s="294"/>
      <c r="AC187" s="294"/>
      <c r="AD187" s="294"/>
      <c r="AE187" s="294"/>
      <c r="AF187" s="294"/>
      <c r="AG187" s="294"/>
      <c r="AH187" s="294"/>
      <c r="AI187" s="294"/>
      <c r="AJ187" s="294"/>
      <c r="AK187" s="294"/>
      <c r="AL187" s="294"/>
      <c r="AM187" s="294"/>
      <c r="AN187" s="295"/>
      <c r="AO187" s="295"/>
      <c r="AP187" s="295"/>
      <c r="AQ187" s="295"/>
      <c r="AR187" s="295"/>
      <c r="AS187" s="295"/>
      <c r="AT187" s="295"/>
      <c r="AU187" s="295"/>
      <c r="AV187" s="295"/>
      <c r="AW187" s="295"/>
      <c r="AX187" s="295"/>
      <c r="AY187" s="295"/>
      <c r="AZ187" s="295"/>
      <c r="BA187" s="295"/>
      <c r="BB187" s="295"/>
      <c r="BC187" s="295"/>
      <c r="BD187" s="295"/>
      <c r="BE187" s="295"/>
    </row>
    <row r="188" spans="2:59" s="30" customFormat="1" ht="15.75" x14ac:dyDescent="0.2">
      <c r="B188" s="8"/>
      <c r="C188" s="33"/>
      <c r="D188" s="81"/>
      <c r="H188" s="81"/>
      <c r="J188" s="32"/>
      <c r="K188" s="37"/>
      <c r="L188" s="37"/>
      <c r="P188" s="37"/>
      <c r="Q188" s="129"/>
      <c r="R188" s="94"/>
      <c r="S188" s="104"/>
      <c r="T188" s="36"/>
      <c r="U188" s="35"/>
      <c r="V188" s="35"/>
      <c r="W188" s="35"/>
      <c r="X188" s="35"/>
      <c r="Y188" s="35"/>
      <c r="Z188" s="35"/>
      <c r="AA188" s="35"/>
      <c r="AB188" s="35"/>
      <c r="AC188" s="35"/>
      <c r="AD188" s="35"/>
      <c r="AE188" s="35"/>
      <c r="AF188" s="35"/>
      <c r="AG188" s="35"/>
      <c r="AH188" s="35"/>
      <c r="AI188" s="35"/>
      <c r="AJ188" s="35"/>
      <c r="AK188" s="35"/>
      <c r="AL188" s="35"/>
      <c r="AM188" s="35"/>
      <c r="AN188" s="35"/>
      <c r="AO188" s="35"/>
      <c r="AP188" s="36"/>
      <c r="AQ188" s="36"/>
      <c r="AR188" s="36"/>
      <c r="AS188" s="36"/>
      <c r="AT188" s="36"/>
      <c r="AU188" s="36"/>
      <c r="AV188" s="36"/>
      <c r="AW188" s="36"/>
      <c r="AX188" s="36"/>
      <c r="AY188" s="36"/>
      <c r="AZ188" s="36"/>
      <c r="BA188" s="36"/>
      <c r="BB188" s="36"/>
      <c r="BC188" s="36"/>
      <c r="BD188" s="36"/>
      <c r="BE188" s="36"/>
      <c r="BF188" s="36"/>
      <c r="BG188" s="36"/>
    </row>
    <row r="189" spans="2:59" s="30" customFormat="1" ht="15" x14ac:dyDescent="0.2">
      <c r="B189" s="151" t="s">
        <v>441</v>
      </c>
      <c r="C189" s="33"/>
      <c r="D189" s="81"/>
      <c r="G189" s="33"/>
      <c r="H189" s="81"/>
      <c r="K189" s="37" t="s">
        <v>297</v>
      </c>
      <c r="L189" s="37" t="s">
        <v>185</v>
      </c>
      <c r="M189" s="81"/>
      <c r="N189" s="81"/>
      <c r="O189" s="249" t="s">
        <v>584</v>
      </c>
      <c r="Q189" s="34"/>
      <c r="R189" s="35" t="s">
        <v>318</v>
      </c>
      <c r="S189" s="35"/>
      <c r="T189" s="35" t="s">
        <v>246</v>
      </c>
      <c r="U189" s="104"/>
      <c r="V189" s="35"/>
      <c r="W189" s="35"/>
      <c r="X189" s="35"/>
      <c r="Y189" s="35"/>
      <c r="Z189" s="35"/>
      <c r="AA189" s="35"/>
      <c r="AB189" s="35"/>
      <c r="AC189" s="35"/>
      <c r="AD189" s="35"/>
      <c r="AE189" s="35"/>
      <c r="AF189" s="35"/>
      <c r="AG189" s="35"/>
      <c r="AH189" s="35"/>
      <c r="AI189" s="35"/>
      <c r="AJ189" s="35"/>
      <c r="AK189" s="35"/>
      <c r="AL189" s="35"/>
      <c r="AM189" s="35"/>
      <c r="AN189" s="36"/>
      <c r="AO189" s="36"/>
      <c r="AP189" s="36"/>
      <c r="AQ189" s="36"/>
      <c r="AR189" s="36"/>
      <c r="AS189" s="36"/>
      <c r="AT189" s="36"/>
      <c r="AU189" s="36"/>
      <c r="AV189" s="36"/>
      <c r="AW189" s="36"/>
      <c r="AX189" s="36"/>
      <c r="AY189" s="36"/>
      <c r="AZ189" s="36"/>
      <c r="BA189" s="36"/>
      <c r="BB189" s="36"/>
      <c r="BC189" s="36"/>
      <c r="BD189" s="36"/>
      <c r="BE189" s="36"/>
    </row>
    <row r="190" spans="2:59" s="30" customFormat="1" ht="15" x14ac:dyDescent="0.2">
      <c r="B190" s="52" t="s">
        <v>461</v>
      </c>
      <c r="C190" s="471" t="s">
        <v>300</v>
      </c>
      <c r="D190" s="472"/>
      <c r="E190" s="472"/>
      <c r="F190" s="472"/>
      <c r="G190" s="473"/>
      <c r="H190" s="81"/>
      <c r="J190" s="32" t="s">
        <v>424</v>
      </c>
      <c r="K190" s="92" t="str">
        <f>IFERROR(IF(ISNUMBER(L190),L190,(VLOOKUP(C190,Kalusto!$C$5:$E$42,3,FALSE))*(VLOOKUP(C191,Muut!$D$40:$E$43,2,FALSE))),"--")</f>
        <v>--</v>
      </c>
      <c r="L190" s="39"/>
      <c r="M190" s="40" t="s">
        <v>189</v>
      </c>
      <c r="N190" s="40"/>
      <c r="O190" s="250"/>
      <c r="Q190" s="34"/>
      <c r="R190" s="48" t="str">
        <f>IF(ISNUMBER(K190*T190),K190*T190,"")</f>
        <v/>
      </c>
      <c r="S190" s="98" t="s">
        <v>160</v>
      </c>
      <c r="T190" s="48" t="str">
        <f>IF(ISNUMBER(C192),C192,"")</f>
        <v/>
      </c>
      <c r="U190" s="104"/>
      <c r="V190" s="59"/>
      <c r="W190" s="35"/>
      <c r="X190" s="35"/>
      <c r="Y190" s="35"/>
      <c r="Z190" s="35"/>
      <c r="AA190" s="35"/>
      <c r="AB190" s="35"/>
      <c r="AC190" s="35"/>
      <c r="AD190" s="35"/>
      <c r="AE190" s="35"/>
      <c r="AF190" s="35"/>
      <c r="AG190" s="35"/>
      <c r="AH190" s="35"/>
      <c r="AI190" s="35"/>
      <c r="AJ190" s="35"/>
      <c r="AK190" s="35"/>
      <c r="AL190" s="35"/>
      <c r="AM190" s="35"/>
      <c r="AN190" s="36"/>
      <c r="AO190" s="36"/>
      <c r="AP190" s="36"/>
      <c r="AQ190" s="36"/>
      <c r="AR190" s="36"/>
      <c r="AS190" s="36"/>
      <c r="AT190" s="36"/>
      <c r="AU190" s="36"/>
      <c r="AV190" s="36"/>
      <c r="AW190" s="36"/>
      <c r="AX190" s="36"/>
      <c r="AY190" s="36"/>
      <c r="AZ190" s="36"/>
      <c r="BA190" s="36"/>
      <c r="BB190" s="36"/>
      <c r="BC190" s="36"/>
      <c r="BD190" s="36"/>
      <c r="BE190" s="36"/>
    </row>
    <row r="191" spans="2:59" s="30" customFormat="1" ht="15" x14ac:dyDescent="0.2">
      <c r="B191" s="166" t="s">
        <v>460</v>
      </c>
      <c r="C191" s="156" t="s">
        <v>309</v>
      </c>
      <c r="D191" s="33"/>
      <c r="E191" s="33"/>
      <c r="F191" s="33"/>
      <c r="G191" s="33"/>
      <c r="H191" s="57"/>
      <c r="J191" s="169"/>
      <c r="K191" s="169"/>
      <c r="L191" s="169"/>
      <c r="M191" s="40"/>
      <c r="N191" s="40"/>
      <c r="O191" s="259"/>
      <c r="Q191" s="45"/>
      <c r="R191" s="59"/>
      <c r="S191" s="98"/>
      <c r="T191" s="35"/>
      <c r="U191" s="35"/>
      <c r="V191" s="177"/>
      <c r="W191" s="177"/>
      <c r="X191" s="59"/>
      <c r="Y191" s="35"/>
      <c r="Z191" s="59"/>
      <c r="AA191" s="178"/>
      <c r="AB191" s="59"/>
      <c r="AC191" s="59"/>
      <c r="AD191" s="59"/>
      <c r="AE191" s="59"/>
      <c r="AF191" s="178"/>
      <c r="AG191" s="59"/>
      <c r="AH191" s="35"/>
      <c r="AI191" s="35"/>
      <c r="AJ191" s="35"/>
      <c r="AK191" s="104"/>
      <c r="AL191" s="35"/>
      <c r="AM191" s="35"/>
      <c r="AN191" s="36"/>
      <c r="AO191" s="36"/>
      <c r="AP191" s="36"/>
      <c r="AQ191" s="36"/>
      <c r="AR191" s="36"/>
      <c r="AS191" s="36"/>
      <c r="AT191" s="36"/>
      <c r="AU191" s="36"/>
      <c r="AV191" s="36"/>
      <c r="AW191" s="36"/>
      <c r="AX191" s="36"/>
      <c r="AY191" s="36"/>
      <c r="AZ191" s="36"/>
      <c r="BA191" s="36"/>
      <c r="BB191" s="36"/>
      <c r="BC191" s="36"/>
      <c r="BD191" s="36"/>
      <c r="BE191" s="36"/>
    </row>
    <row r="192" spans="2:59" s="30" customFormat="1" ht="15" x14ac:dyDescent="0.2">
      <c r="B192" s="52" t="s">
        <v>245</v>
      </c>
      <c r="C192" s="189"/>
      <c r="D192" s="81" t="s">
        <v>51</v>
      </c>
      <c r="G192" s="33"/>
      <c r="H192" s="81"/>
      <c r="J192" s="32"/>
      <c r="K192" s="33"/>
      <c r="L192" s="33"/>
      <c r="M192" s="81"/>
      <c r="N192" s="81"/>
      <c r="O192" s="96"/>
      <c r="Q192" s="34"/>
      <c r="R192" s="35"/>
      <c r="S192" s="35"/>
      <c r="T192" s="35"/>
      <c r="U192" s="104"/>
      <c r="V192" s="35"/>
      <c r="W192" s="35"/>
      <c r="X192" s="35"/>
      <c r="Y192" s="35"/>
      <c r="Z192" s="35"/>
      <c r="AA192" s="35"/>
      <c r="AB192" s="35"/>
      <c r="AC192" s="35"/>
      <c r="AD192" s="35"/>
      <c r="AE192" s="35"/>
      <c r="AF192" s="35"/>
      <c r="AG192" s="35"/>
      <c r="AH192" s="35"/>
      <c r="AI192" s="35"/>
      <c r="AJ192" s="35"/>
      <c r="AK192" s="35"/>
      <c r="AL192" s="35"/>
      <c r="AM192" s="35"/>
      <c r="AN192" s="36"/>
      <c r="AO192" s="36"/>
      <c r="AP192" s="36"/>
      <c r="AQ192" s="36"/>
      <c r="AR192" s="36"/>
      <c r="AS192" s="36"/>
      <c r="AT192" s="36"/>
      <c r="AU192" s="36"/>
      <c r="AV192" s="36"/>
      <c r="AW192" s="36"/>
      <c r="AX192" s="36"/>
      <c r="AY192" s="36"/>
      <c r="AZ192" s="36"/>
      <c r="BA192" s="36"/>
      <c r="BB192" s="36"/>
      <c r="BC192" s="36"/>
      <c r="BD192" s="36"/>
      <c r="BE192" s="36"/>
    </row>
    <row r="193" spans="2:59" s="30" customFormat="1" ht="15" x14ac:dyDescent="0.2">
      <c r="B193" s="151" t="s">
        <v>441</v>
      </c>
      <c r="C193" s="33"/>
      <c r="D193" s="81"/>
      <c r="G193" s="33"/>
      <c r="H193" s="81"/>
      <c r="K193" s="37" t="s">
        <v>297</v>
      </c>
      <c r="L193" s="37" t="s">
        <v>185</v>
      </c>
      <c r="M193" s="81"/>
      <c r="N193" s="81"/>
      <c r="O193" s="96"/>
      <c r="Q193" s="34"/>
      <c r="R193" s="35" t="s">
        <v>318</v>
      </c>
      <c r="S193" s="35"/>
      <c r="T193" s="35" t="s">
        <v>246</v>
      </c>
      <c r="U193" s="104"/>
      <c r="V193" s="35"/>
      <c r="W193" s="35"/>
      <c r="X193" s="35"/>
      <c r="Y193" s="35"/>
      <c r="Z193" s="35"/>
      <c r="AA193" s="35"/>
      <c r="AB193" s="35"/>
      <c r="AC193" s="35"/>
      <c r="AD193" s="35"/>
      <c r="AE193" s="35"/>
      <c r="AF193" s="35"/>
      <c r="AG193" s="35"/>
      <c r="AH193" s="35"/>
      <c r="AI193" s="35"/>
      <c r="AJ193" s="35"/>
      <c r="AK193" s="35"/>
      <c r="AL193" s="35"/>
      <c r="AM193" s="35"/>
      <c r="AN193" s="36"/>
      <c r="AO193" s="36"/>
      <c r="AP193" s="36"/>
      <c r="AQ193" s="36"/>
      <c r="AR193" s="36"/>
      <c r="AS193" s="36"/>
      <c r="AT193" s="36"/>
      <c r="AU193" s="36"/>
      <c r="AV193" s="36"/>
      <c r="AW193" s="36"/>
      <c r="AX193" s="36"/>
      <c r="AY193" s="36"/>
      <c r="AZ193" s="36"/>
      <c r="BA193" s="36"/>
      <c r="BB193" s="36"/>
      <c r="BC193" s="36"/>
      <c r="BD193" s="36"/>
      <c r="BE193" s="36"/>
    </row>
    <row r="194" spans="2:59" s="30" customFormat="1" ht="15" x14ac:dyDescent="0.2">
      <c r="B194" s="52" t="s">
        <v>461</v>
      </c>
      <c r="C194" s="471" t="s">
        <v>300</v>
      </c>
      <c r="D194" s="472"/>
      <c r="E194" s="472"/>
      <c r="F194" s="472"/>
      <c r="G194" s="473"/>
      <c r="H194" s="81"/>
      <c r="J194" s="32" t="s">
        <v>424</v>
      </c>
      <c r="K194" s="92" t="str">
        <f>IFERROR(IF(ISNUMBER(L194),L194,(VLOOKUP(C194,Kalusto!$C$5:$E$42,3,FALSE))*(VLOOKUP(C195,Muut!$D$40:$E$43,2,FALSE))),"--")</f>
        <v>--</v>
      </c>
      <c r="L194" s="39"/>
      <c r="M194" s="40" t="s">
        <v>189</v>
      </c>
      <c r="N194" s="40"/>
      <c r="O194" s="259"/>
      <c r="Q194" s="34"/>
      <c r="R194" s="48" t="str">
        <f>IF(ISNUMBER(K194*T194),K194*T194,"")</f>
        <v/>
      </c>
      <c r="S194" s="98" t="s">
        <v>160</v>
      </c>
      <c r="T194" s="48" t="str">
        <f>IF(ISNUMBER(C196),C196,"")</f>
        <v/>
      </c>
      <c r="U194" s="104"/>
      <c r="V194" s="59"/>
      <c r="W194" s="35"/>
      <c r="X194" s="35"/>
      <c r="Y194" s="35"/>
      <c r="Z194" s="35"/>
      <c r="AA194" s="35"/>
      <c r="AB194" s="35"/>
      <c r="AC194" s="35"/>
      <c r="AD194" s="35"/>
      <c r="AE194" s="35"/>
      <c r="AF194" s="35"/>
      <c r="AG194" s="35"/>
      <c r="AH194" s="35"/>
      <c r="AI194" s="35"/>
      <c r="AJ194" s="35"/>
      <c r="AK194" s="35"/>
      <c r="AL194" s="35"/>
      <c r="AM194" s="35"/>
      <c r="AN194" s="36"/>
      <c r="AO194" s="36"/>
      <c r="AP194" s="36"/>
      <c r="AQ194" s="36"/>
      <c r="AR194" s="36"/>
      <c r="AS194" s="36"/>
      <c r="AT194" s="36"/>
      <c r="AU194" s="36"/>
      <c r="AV194" s="36"/>
      <c r="AW194" s="36"/>
      <c r="AX194" s="36"/>
      <c r="AY194" s="36"/>
      <c r="AZ194" s="36"/>
      <c r="BA194" s="36"/>
      <c r="BB194" s="36"/>
      <c r="BC194" s="36"/>
      <c r="BD194" s="36"/>
      <c r="BE194" s="36"/>
    </row>
    <row r="195" spans="2:59" s="30" customFormat="1" ht="15" x14ac:dyDescent="0.2">
      <c r="B195" s="166" t="s">
        <v>460</v>
      </c>
      <c r="C195" s="156" t="s">
        <v>309</v>
      </c>
      <c r="D195" s="33"/>
      <c r="E195" s="33"/>
      <c r="F195" s="33"/>
      <c r="G195" s="33"/>
      <c r="H195" s="57"/>
      <c r="J195" s="169"/>
      <c r="K195" s="169"/>
      <c r="L195" s="169"/>
      <c r="M195" s="40"/>
      <c r="N195" s="40"/>
      <c r="O195" s="259"/>
      <c r="Q195" s="45"/>
      <c r="R195" s="59"/>
      <c r="S195" s="98"/>
      <c r="T195" s="35"/>
      <c r="U195" s="35"/>
      <c r="V195" s="177"/>
      <c r="W195" s="177"/>
      <c r="X195" s="59"/>
      <c r="Y195" s="35"/>
      <c r="Z195" s="59"/>
      <c r="AA195" s="178"/>
      <c r="AB195" s="59"/>
      <c r="AC195" s="59"/>
      <c r="AD195" s="59"/>
      <c r="AE195" s="59"/>
      <c r="AF195" s="178"/>
      <c r="AG195" s="59"/>
      <c r="AH195" s="35"/>
      <c r="AI195" s="35"/>
      <c r="AJ195" s="35"/>
      <c r="AK195" s="104"/>
      <c r="AL195" s="35"/>
      <c r="AM195" s="35"/>
      <c r="AN195" s="36"/>
      <c r="AO195" s="36"/>
      <c r="AP195" s="36"/>
      <c r="AQ195" s="36"/>
      <c r="AR195" s="36"/>
      <c r="AS195" s="36"/>
      <c r="AT195" s="36"/>
      <c r="AU195" s="36"/>
      <c r="AV195" s="36"/>
      <c r="AW195" s="36"/>
      <c r="AX195" s="36"/>
      <c r="AY195" s="36"/>
      <c r="AZ195" s="36"/>
      <c r="BA195" s="36"/>
      <c r="BB195" s="36"/>
      <c r="BC195" s="36"/>
      <c r="BD195" s="36"/>
      <c r="BE195" s="36"/>
    </row>
    <row r="196" spans="2:59" s="30" customFormat="1" ht="15" x14ac:dyDescent="0.2">
      <c r="B196" s="52" t="s">
        <v>245</v>
      </c>
      <c r="C196" s="189"/>
      <c r="D196" s="81" t="s">
        <v>51</v>
      </c>
      <c r="G196" s="33"/>
      <c r="H196" s="81"/>
      <c r="J196" s="32"/>
      <c r="K196" s="33"/>
      <c r="L196" s="33"/>
      <c r="M196" s="81"/>
      <c r="N196" s="81"/>
      <c r="O196" s="96"/>
      <c r="Q196" s="34"/>
      <c r="R196" s="35"/>
      <c r="S196" s="35"/>
      <c r="T196" s="35"/>
      <c r="U196" s="104"/>
      <c r="V196" s="35"/>
      <c r="W196" s="35"/>
      <c r="X196" s="35"/>
      <c r="Y196" s="35"/>
      <c r="Z196" s="35"/>
      <c r="AA196" s="35"/>
      <c r="AB196" s="35"/>
      <c r="AC196" s="35"/>
      <c r="AD196" s="35"/>
      <c r="AE196" s="35"/>
      <c r="AF196" s="35"/>
      <c r="AG196" s="35"/>
      <c r="AH196" s="35"/>
      <c r="AI196" s="35"/>
      <c r="AJ196" s="35"/>
      <c r="AK196" s="35"/>
      <c r="AL196" s="35"/>
      <c r="AM196" s="35"/>
      <c r="AN196" s="36"/>
      <c r="AO196" s="36"/>
      <c r="AP196" s="36"/>
      <c r="AQ196" s="36"/>
      <c r="AR196" s="36"/>
      <c r="AS196" s="36"/>
      <c r="AT196" s="36"/>
      <c r="AU196" s="36"/>
      <c r="AV196" s="36"/>
      <c r="AW196" s="36"/>
      <c r="AX196" s="36"/>
      <c r="AY196" s="36"/>
      <c r="AZ196" s="36"/>
      <c r="BA196" s="36"/>
      <c r="BB196" s="36"/>
      <c r="BC196" s="36"/>
      <c r="BD196" s="36"/>
      <c r="BE196" s="36"/>
    </row>
    <row r="197" spans="2:59" s="30" customFormat="1" ht="15" x14ac:dyDescent="0.2">
      <c r="C197" s="78"/>
      <c r="D197" s="81"/>
      <c r="H197" s="81"/>
      <c r="J197" s="32"/>
      <c r="Q197" s="129"/>
      <c r="R197" s="94"/>
      <c r="S197" s="104"/>
      <c r="T197" s="36"/>
      <c r="U197" s="35"/>
      <c r="V197" s="35"/>
      <c r="W197" s="35"/>
      <c r="X197" s="35"/>
      <c r="Y197" s="35"/>
      <c r="Z197" s="35"/>
      <c r="AA197" s="35"/>
      <c r="AB197" s="35"/>
      <c r="AC197" s="35"/>
      <c r="AD197" s="35"/>
      <c r="AE197" s="35"/>
      <c r="AF197" s="35"/>
      <c r="AG197" s="35"/>
      <c r="AH197" s="35"/>
      <c r="AI197" s="35"/>
      <c r="AJ197" s="35"/>
      <c r="AK197" s="35"/>
      <c r="AL197" s="35"/>
      <c r="AM197" s="35"/>
      <c r="AN197" s="35"/>
      <c r="AO197" s="35"/>
      <c r="AP197" s="36"/>
      <c r="AQ197" s="36"/>
      <c r="AR197" s="36"/>
      <c r="AS197" s="36"/>
      <c r="AT197" s="36"/>
      <c r="AU197" s="36"/>
      <c r="AV197" s="36"/>
      <c r="AW197" s="36"/>
      <c r="AX197" s="36"/>
      <c r="AY197" s="36"/>
      <c r="AZ197" s="36"/>
      <c r="BA197" s="36"/>
      <c r="BB197" s="36"/>
      <c r="BC197" s="36"/>
      <c r="BD197" s="36"/>
      <c r="BE197" s="36"/>
      <c r="BF197" s="36"/>
      <c r="BG197" s="36"/>
    </row>
    <row r="198" spans="2:59" s="289" customFormat="1" ht="18" x14ac:dyDescent="0.2">
      <c r="B198" s="286" t="s">
        <v>294</v>
      </c>
      <c r="C198" s="287"/>
      <c r="D198" s="288"/>
      <c r="G198" s="287"/>
      <c r="H198" s="288"/>
      <c r="K198" s="287"/>
      <c r="L198" s="287"/>
      <c r="M198" s="288"/>
      <c r="N198" s="288"/>
      <c r="O198" s="291"/>
      <c r="P198" s="311"/>
      <c r="Q198" s="295"/>
      <c r="S198" s="294"/>
      <c r="T198" s="294"/>
      <c r="U198" s="294"/>
      <c r="V198" s="294"/>
      <c r="W198" s="294"/>
      <c r="X198" s="294"/>
      <c r="Y198" s="294"/>
      <c r="Z198" s="294"/>
      <c r="AA198" s="294"/>
      <c r="AB198" s="294"/>
      <c r="AC198" s="294"/>
      <c r="AD198" s="294"/>
      <c r="AE198" s="294"/>
      <c r="AF198" s="294"/>
      <c r="AG198" s="294"/>
      <c r="AH198" s="294"/>
      <c r="AI198" s="294"/>
      <c r="AJ198" s="294"/>
      <c r="AK198" s="294"/>
      <c r="AL198" s="294"/>
      <c r="AM198" s="294"/>
      <c r="AN198" s="295"/>
      <c r="AO198" s="295"/>
      <c r="AP198" s="295"/>
      <c r="AQ198" s="295"/>
      <c r="AR198" s="295"/>
      <c r="AS198" s="295"/>
      <c r="AT198" s="295"/>
      <c r="AU198" s="295"/>
      <c r="AV198" s="295"/>
      <c r="AW198" s="295"/>
      <c r="AX198" s="295"/>
      <c r="AY198" s="295"/>
      <c r="AZ198" s="295"/>
      <c r="BA198" s="295"/>
      <c r="BB198" s="295"/>
      <c r="BC198" s="295"/>
      <c r="BD198" s="295"/>
      <c r="BE198" s="295"/>
    </row>
    <row r="199" spans="2:59" s="30" customFormat="1" ht="15.75" x14ac:dyDescent="0.2">
      <c r="B199" s="8"/>
      <c r="C199" s="33"/>
      <c r="D199" s="81"/>
      <c r="H199" s="81"/>
      <c r="J199" s="32"/>
      <c r="K199" s="37"/>
      <c r="L199" s="37"/>
      <c r="P199" s="37"/>
      <c r="Q199" s="129"/>
      <c r="R199" s="94"/>
      <c r="S199" s="104"/>
      <c r="T199" s="36"/>
      <c r="U199" s="35"/>
      <c r="V199" s="35"/>
      <c r="W199" s="35"/>
      <c r="X199" s="35"/>
      <c r="Y199" s="35"/>
      <c r="Z199" s="35"/>
      <c r="AA199" s="35"/>
      <c r="AB199" s="35"/>
      <c r="AC199" s="35"/>
      <c r="AD199" s="35"/>
      <c r="AE199" s="35"/>
      <c r="AF199" s="35"/>
      <c r="AG199" s="35"/>
      <c r="AH199" s="35"/>
      <c r="AI199" s="35"/>
      <c r="AJ199" s="35"/>
      <c r="AK199" s="35"/>
      <c r="AL199" s="35"/>
      <c r="AM199" s="35"/>
      <c r="AN199" s="35"/>
      <c r="AO199" s="35"/>
      <c r="AP199" s="36"/>
      <c r="AQ199" s="36"/>
      <c r="AR199" s="36"/>
      <c r="AS199" s="36"/>
      <c r="AT199" s="36"/>
      <c r="AU199" s="36"/>
      <c r="AV199" s="36"/>
      <c r="AW199" s="36"/>
      <c r="AX199" s="36"/>
      <c r="AY199" s="36"/>
      <c r="AZ199" s="36"/>
      <c r="BA199" s="36"/>
      <c r="BB199" s="36"/>
      <c r="BC199" s="36"/>
      <c r="BD199" s="36"/>
      <c r="BE199" s="36"/>
      <c r="BF199" s="36"/>
      <c r="BG199" s="36"/>
    </row>
    <row r="200" spans="2:59" s="30" customFormat="1" ht="15" x14ac:dyDescent="0.2">
      <c r="B200" s="151" t="s">
        <v>441</v>
      </c>
      <c r="C200" s="33"/>
      <c r="D200" s="81"/>
      <c r="G200" s="33"/>
      <c r="H200" s="81"/>
      <c r="K200" s="37" t="s">
        <v>297</v>
      </c>
      <c r="L200" s="37" t="s">
        <v>185</v>
      </c>
      <c r="M200" s="81"/>
      <c r="N200" s="81"/>
      <c r="O200" s="249" t="s">
        <v>584</v>
      </c>
      <c r="Q200" s="34"/>
      <c r="R200" s="35" t="s">
        <v>318</v>
      </c>
      <c r="S200" s="35"/>
      <c r="T200" s="35" t="s">
        <v>246</v>
      </c>
      <c r="U200" s="104"/>
      <c r="V200" s="35"/>
      <c r="W200" s="35"/>
      <c r="X200" s="35"/>
      <c r="Y200" s="35"/>
      <c r="Z200" s="35"/>
      <c r="AA200" s="35"/>
      <c r="AB200" s="35"/>
      <c r="AC200" s="35"/>
      <c r="AD200" s="35"/>
      <c r="AE200" s="35"/>
      <c r="AF200" s="35"/>
      <c r="AG200" s="35"/>
      <c r="AH200" s="35"/>
      <c r="AI200" s="35"/>
      <c r="AJ200" s="35"/>
      <c r="AK200" s="35"/>
      <c r="AL200" s="35"/>
      <c r="AM200" s="35"/>
      <c r="AN200" s="36"/>
      <c r="AO200" s="36"/>
      <c r="AP200" s="36"/>
      <c r="AQ200" s="36"/>
      <c r="AR200" s="36"/>
      <c r="AS200" s="36"/>
      <c r="AT200" s="36"/>
      <c r="AU200" s="36"/>
      <c r="AV200" s="36"/>
      <c r="AW200" s="36"/>
      <c r="AX200" s="36"/>
      <c r="AY200" s="36"/>
      <c r="AZ200" s="36"/>
      <c r="BA200" s="36"/>
      <c r="BB200" s="36"/>
      <c r="BC200" s="36"/>
      <c r="BD200" s="36"/>
      <c r="BE200" s="36"/>
    </row>
    <row r="201" spans="2:59" s="30" customFormat="1" ht="15" x14ac:dyDescent="0.2">
      <c r="B201" s="52" t="s">
        <v>461</v>
      </c>
      <c r="C201" s="471" t="s">
        <v>300</v>
      </c>
      <c r="D201" s="472"/>
      <c r="E201" s="472"/>
      <c r="F201" s="472"/>
      <c r="G201" s="473"/>
      <c r="H201" s="81"/>
      <c r="J201" s="32" t="s">
        <v>424</v>
      </c>
      <c r="K201" s="92" t="str">
        <f>IFERROR(IF(ISNUMBER(L201),L201,(VLOOKUP(C201,Kalusto!$C$5:$E$42,3,FALSE))*(VLOOKUP(C202,Muut!$D$40:$E$43,2,FALSE))),"--")</f>
        <v>--</v>
      </c>
      <c r="L201" s="39"/>
      <c r="M201" s="40" t="s">
        <v>189</v>
      </c>
      <c r="N201" s="40"/>
      <c r="O201" s="250"/>
      <c r="Q201" s="34"/>
      <c r="R201" s="48" t="str">
        <f>IF(ISNUMBER(K201*T201),K201*T201,"")</f>
        <v/>
      </c>
      <c r="S201" s="98" t="s">
        <v>160</v>
      </c>
      <c r="T201" s="48" t="str">
        <f>IF(ISNUMBER(C203),C203,"")</f>
        <v/>
      </c>
      <c r="U201" s="104"/>
      <c r="V201" s="59"/>
      <c r="W201" s="35"/>
      <c r="X201" s="35"/>
      <c r="Y201" s="35"/>
      <c r="Z201" s="35"/>
      <c r="AA201" s="35"/>
      <c r="AB201" s="35"/>
      <c r="AC201" s="35"/>
      <c r="AD201" s="35"/>
      <c r="AE201" s="35"/>
      <c r="AF201" s="35"/>
      <c r="AG201" s="35"/>
      <c r="AH201" s="35"/>
      <c r="AI201" s="35"/>
      <c r="AJ201" s="35"/>
      <c r="AK201" s="35"/>
      <c r="AL201" s="35"/>
      <c r="AM201" s="35"/>
      <c r="AN201" s="36"/>
      <c r="AO201" s="36"/>
      <c r="AP201" s="36"/>
      <c r="AQ201" s="36"/>
      <c r="AR201" s="36"/>
      <c r="AS201" s="36"/>
      <c r="AT201" s="36"/>
      <c r="AU201" s="36"/>
      <c r="AV201" s="36"/>
      <c r="AW201" s="36"/>
      <c r="AX201" s="36"/>
      <c r="AY201" s="36"/>
      <c r="AZ201" s="36"/>
      <c r="BA201" s="36"/>
      <c r="BB201" s="36"/>
      <c r="BC201" s="36"/>
      <c r="BD201" s="36"/>
      <c r="BE201" s="36"/>
    </row>
    <row r="202" spans="2:59" s="30" customFormat="1" ht="15" x14ac:dyDescent="0.2">
      <c r="B202" s="166" t="s">
        <v>460</v>
      </c>
      <c r="C202" s="156" t="s">
        <v>309</v>
      </c>
      <c r="D202" s="33"/>
      <c r="E202" s="33"/>
      <c r="F202" s="33"/>
      <c r="G202" s="33"/>
      <c r="H202" s="57"/>
      <c r="J202" s="169"/>
      <c r="K202" s="169"/>
      <c r="L202" s="169"/>
      <c r="M202" s="40"/>
      <c r="N202" s="40"/>
      <c r="O202" s="259"/>
      <c r="Q202" s="45"/>
      <c r="R202" s="59"/>
      <c r="S202" s="98"/>
      <c r="T202" s="35"/>
      <c r="U202" s="35"/>
      <c r="V202" s="177"/>
      <c r="W202" s="177"/>
      <c r="X202" s="59"/>
      <c r="Y202" s="35"/>
      <c r="Z202" s="59"/>
      <c r="AA202" s="178"/>
      <c r="AB202" s="59"/>
      <c r="AC202" s="59"/>
      <c r="AD202" s="59"/>
      <c r="AE202" s="59"/>
      <c r="AF202" s="178"/>
      <c r="AG202" s="59"/>
      <c r="AH202" s="35"/>
      <c r="AI202" s="35"/>
      <c r="AJ202" s="35"/>
      <c r="AK202" s="104"/>
      <c r="AL202" s="35"/>
      <c r="AM202" s="35"/>
      <c r="AN202" s="36"/>
      <c r="AO202" s="36"/>
      <c r="AP202" s="36"/>
      <c r="AQ202" s="36"/>
      <c r="AR202" s="36"/>
      <c r="AS202" s="36"/>
      <c r="AT202" s="36"/>
      <c r="AU202" s="36"/>
      <c r="AV202" s="36"/>
      <c r="AW202" s="36"/>
      <c r="AX202" s="36"/>
      <c r="AY202" s="36"/>
      <c r="AZ202" s="36"/>
      <c r="BA202" s="36"/>
      <c r="BB202" s="36"/>
      <c r="BC202" s="36"/>
      <c r="BD202" s="36"/>
      <c r="BE202" s="36"/>
    </row>
    <row r="203" spans="2:59" s="30" customFormat="1" ht="15" x14ac:dyDescent="0.2">
      <c r="B203" s="52" t="s">
        <v>245</v>
      </c>
      <c r="C203" s="189"/>
      <c r="D203" s="81" t="s">
        <v>51</v>
      </c>
      <c r="G203" s="33"/>
      <c r="H203" s="81"/>
      <c r="J203" s="32"/>
      <c r="K203" s="33"/>
      <c r="L203" s="33"/>
      <c r="M203" s="81"/>
      <c r="N203" s="81"/>
      <c r="O203" s="96"/>
      <c r="Q203" s="34"/>
      <c r="R203" s="35"/>
      <c r="S203" s="35"/>
      <c r="T203" s="35"/>
      <c r="U203" s="104"/>
      <c r="V203" s="35"/>
      <c r="W203" s="35"/>
      <c r="X203" s="35"/>
      <c r="Y203" s="35"/>
      <c r="Z203" s="35"/>
      <c r="AA203" s="35"/>
      <c r="AB203" s="35"/>
      <c r="AC203" s="35"/>
      <c r="AD203" s="35"/>
      <c r="AE203" s="35"/>
      <c r="AF203" s="35"/>
      <c r="AG203" s="35"/>
      <c r="AH203" s="35"/>
      <c r="AI203" s="35"/>
      <c r="AJ203" s="35"/>
      <c r="AK203" s="35"/>
      <c r="AL203" s="35"/>
      <c r="AM203" s="35"/>
      <c r="AN203" s="36"/>
      <c r="AO203" s="36"/>
      <c r="AP203" s="36"/>
      <c r="AQ203" s="36"/>
      <c r="AR203" s="36"/>
      <c r="AS203" s="36"/>
      <c r="AT203" s="36"/>
      <c r="AU203" s="36"/>
      <c r="AV203" s="36"/>
      <c r="AW203" s="36"/>
      <c r="AX203" s="36"/>
      <c r="AY203" s="36"/>
      <c r="AZ203" s="36"/>
      <c r="BA203" s="36"/>
      <c r="BB203" s="36"/>
      <c r="BC203" s="36"/>
      <c r="BD203" s="36"/>
      <c r="BE203" s="36"/>
    </row>
    <row r="204" spans="2:59" s="30" customFormat="1" ht="15" x14ac:dyDescent="0.2">
      <c r="B204" s="151" t="s">
        <v>441</v>
      </c>
      <c r="C204" s="33"/>
      <c r="D204" s="81"/>
      <c r="G204" s="33"/>
      <c r="H204" s="81"/>
      <c r="K204" s="37" t="s">
        <v>297</v>
      </c>
      <c r="L204" s="37" t="s">
        <v>185</v>
      </c>
      <c r="M204" s="81"/>
      <c r="N204" s="81"/>
      <c r="O204" s="96"/>
      <c r="Q204" s="34"/>
      <c r="R204" s="35" t="s">
        <v>318</v>
      </c>
      <c r="S204" s="35"/>
      <c r="T204" s="35" t="s">
        <v>246</v>
      </c>
      <c r="U204" s="104"/>
      <c r="V204" s="35"/>
      <c r="W204" s="35"/>
      <c r="X204" s="35"/>
      <c r="Y204" s="35"/>
      <c r="Z204" s="35"/>
      <c r="AA204" s="35"/>
      <c r="AB204" s="35"/>
      <c r="AC204" s="35"/>
      <c r="AD204" s="35"/>
      <c r="AE204" s="35"/>
      <c r="AF204" s="35"/>
      <c r="AG204" s="35"/>
      <c r="AH204" s="35"/>
      <c r="AI204" s="35"/>
      <c r="AJ204" s="35"/>
      <c r="AK204" s="35"/>
      <c r="AL204" s="35"/>
      <c r="AM204" s="35"/>
      <c r="AN204" s="36"/>
      <c r="AO204" s="36"/>
      <c r="AP204" s="36"/>
      <c r="AQ204" s="36"/>
      <c r="AR204" s="36"/>
      <c r="AS204" s="36"/>
      <c r="AT204" s="36"/>
      <c r="AU204" s="36"/>
      <c r="AV204" s="36"/>
      <c r="AW204" s="36"/>
      <c r="AX204" s="36"/>
      <c r="AY204" s="36"/>
      <c r="AZ204" s="36"/>
      <c r="BA204" s="36"/>
      <c r="BB204" s="36"/>
      <c r="BC204" s="36"/>
      <c r="BD204" s="36"/>
      <c r="BE204" s="36"/>
    </row>
    <row r="205" spans="2:59" s="30" customFormat="1" ht="15" x14ac:dyDescent="0.2">
      <c r="B205" s="52" t="s">
        <v>461</v>
      </c>
      <c r="C205" s="471" t="s">
        <v>300</v>
      </c>
      <c r="D205" s="472"/>
      <c r="E205" s="472"/>
      <c r="F205" s="472"/>
      <c r="G205" s="473"/>
      <c r="H205" s="81"/>
      <c r="J205" s="32" t="s">
        <v>424</v>
      </c>
      <c r="K205" s="92" t="str">
        <f>IFERROR(IF(ISNUMBER(L205),L205,(VLOOKUP(C205,Kalusto!$C$5:$E$42,3,FALSE))*(VLOOKUP(C206,Muut!$D$40:$E$43,2,FALSE))),"--")</f>
        <v>--</v>
      </c>
      <c r="L205" s="39"/>
      <c r="M205" s="40" t="s">
        <v>189</v>
      </c>
      <c r="N205" s="40"/>
      <c r="O205" s="259"/>
      <c r="Q205" s="34"/>
      <c r="R205" s="48" t="str">
        <f>IF(ISNUMBER(K205*T205),K205*T205,"")</f>
        <v/>
      </c>
      <c r="S205" s="98" t="s">
        <v>160</v>
      </c>
      <c r="T205" s="48" t="str">
        <f>IF(ISNUMBER(C207),C207,"")</f>
        <v/>
      </c>
      <c r="U205" s="104"/>
      <c r="V205" s="59"/>
      <c r="W205" s="35"/>
      <c r="X205" s="35"/>
      <c r="Y205" s="35"/>
      <c r="Z205" s="35"/>
      <c r="AA205" s="35"/>
      <c r="AB205" s="35"/>
      <c r="AC205" s="35"/>
      <c r="AD205" s="35"/>
      <c r="AE205" s="35"/>
      <c r="AF205" s="35"/>
      <c r="AG205" s="35"/>
      <c r="AH205" s="35"/>
      <c r="AI205" s="35"/>
      <c r="AJ205" s="35"/>
      <c r="AK205" s="35"/>
      <c r="AL205" s="35"/>
      <c r="AM205" s="35"/>
      <c r="AN205" s="36"/>
      <c r="AO205" s="36"/>
      <c r="AP205" s="36"/>
      <c r="AQ205" s="36"/>
      <c r="AR205" s="36"/>
      <c r="AS205" s="36"/>
      <c r="AT205" s="36"/>
      <c r="AU205" s="36"/>
      <c r="AV205" s="36"/>
      <c r="AW205" s="36"/>
      <c r="AX205" s="36"/>
      <c r="AY205" s="36"/>
      <c r="AZ205" s="36"/>
      <c r="BA205" s="36"/>
      <c r="BB205" s="36"/>
      <c r="BC205" s="36"/>
      <c r="BD205" s="36"/>
      <c r="BE205" s="36"/>
    </row>
    <row r="206" spans="2:59" s="30" customFormat="1" ht="15" x14ac:dyDescent="0.2">
      <c r="B206" s="166" t="s">
        <v>460</v>
      </c>
      <c r="C206" s="156" t="s">
        <v>309</v>
      </c>
      <c r="D206" s="33"/>
      <c r="E206" s="33"/>
      <c r="F206" s="33"/>
      <c r="G206" s="33"/>
      <c r="H206" s="57"/>
      <c r="J206" s="169"/>
      <c r="K206" s="169"/>
      <c r="L206" s="169"/>
      <c r="M206" s="40"/>
      <c r="N206" s="40"/>
      <c r="O206" s="259"/>
      <c r="Q206" s="45"/>
      <c r="R206" s="59"/>
      <c r="S206" s="98"/>
      <c r="T206" s="35"/>
      <c r="U206" s="35"/>
      <c r="V206" s="177"/>
      <c r="W206" s="177"/>
      <c r="X206" s="59"/>
      <c r="Y206" s="35"/>
      <c r="Z206" s="59"/>
      <c r="AA206" s="178"/>
      <c r="AB206" s="59"/>
      <c r="AC206" s="59"/>
      <c r="AD206" s="59"/>
      <c r="AE206" s="59"/>
      <c r="AF206" s="178"/>
      <c r="AG206" s="59"/>
      <c r="AH206" s="35"/>
      <c r="AI206" s="35"/>
      <c r="AJ206" s="35"/>
      <c r="AK206" s="104"/>
      <c r="AL206" s="35"/>
      <c r="AM206" s="35"/>
      <c r="AN206" s="36"/>
      <c r="AO206" s="36"/>
      <c r="AP206" s="36"/>
      <c r="AQ206" s="36"/>
      <c r="AR206" s="36"/>
      <c r="AS206" s="36"/>
      <c r="AT206" s="36"/>
      <c r="AU206" s="36"/>
      <c r="AV206" s="36"/>
      <c r="AW206" s="36"/>
      <c r="AX206" s="36"/>
      <c r="AY206" s="36"/>
      <c r="AZ206" s="36"/>
      <c r="BA206" s="36"/>
      <c r="BB206" s="36"/>
      <c r="BC206" s="36"/>
      <c r="BD206" s="36"/>
      <c r="BE206" s="36"/>
    </row>
    <row r="207" spans="2:59" s="30" customFormat="1" ht="15" x14ac:dyDescent="0.2">
      <c r="B207" s="52" t="s">
        <v>245</v>
      </c>
      <c r="C207" s="189"/>
      <c r="D207" s="81" t="s">
        <v>51</v>
      </c>
      <c r="G207" s="33"/>
      <c r="H207" s="81"/>
      <c r="J207" s="32"/>
      <c r="K207" s="33"/>
      <c r="L207" s="33"/>
      <c r="M207" s="81"/>
      <c r="N207" s="81"/>
      <c r="O207" s="96"/>
      <c r="Q207" s="34"/>
      <c r="R207" s="35"/>
      <c r="S207" s="35"/>
      <c r="T207" s="35"/>
      <c r="U207" s="104"/>
      <c r="V207" s="35"/>
      <c r="W207" s="35"/>
      <c r="X207" s="35"/>
      <c r="Y207" s="35"/>
      <c r="Z207" s="35"/>
      <c r="AA207" s="35"/>
      <c r="AB207" s="35"/>
      <c r="AC207" s="35"/>
      <c r="AD207" s="35"/>
      <c r="AE207" s="35"/>
      <c r="AF207" s="35"/>
      <c r="AG207" s="35"/>
      <c r="AH207" s="35"/>
      <c r="AI207" s="35"/>
      <c r="AJ207" s="35"/>
      <c r="AK207" s="35"/>
      <c r="AL207" s="35"/>
      <c r="AM207" s="35"/>
      <c r="AN207" s="36"/>
      <c r="AO207" s="36"/>
      <c r="AP207" s="36"/>
      <c r="AQ207" s="36"/>
      <c r="AR207" s="36"/>
      <c r="AS207" s="36"/>
      <c r="AT207" s="36"/>
      <c r="AU207" s="36"/>
      <c r="AV207" s="36"/>
      <c r="AW207" s="36"/>
      <c r="AX207" s="36"/>
      <c r="AY207" s="36"/>
      <c r="AZ207" s="36"/>
      <c r="BA207" s="36"/>
      <c r="BB207" s="36"/>
      <c r="BC207" s="36"/>
      <c r="BD207" s="36"/>
      <c r="BE207" s="36"/>
    </row>
    <row r="208" spans="2:59" s="30" customFormat="1" ht="15" x14ac:dyDescent="0.2">
      <c r="B208" s="52"/>
      <c r="C208" s="52"/>
      <c r="D208" s="52"/>
      <c r="G208" s="33"/>
      <c r="H208" s="81"/>
      <c r="J208" s="32"/>
      <c r="K208" s="33"/>
      <c r="L208" s="33"/>
      <c r="M208" s="81"/>
      <c r="N208" s="81"/>
      <c r="O208" s="96"/>
      <c r="Q208" s="34"/>
      <c r="R208" s="35"/>
      <c r="S208" s="35"/>
      <c r="T208" s="35"/>
      <c r="U208" s="104"/>
      <c r="V208" s="35"/>
      <c r="W208" s="35"/>
      <c r="X208" s="35"/>
      <c r="Y208" s="35"/>
      <c r="Z208" s="35"/>
      <c r="AA208" s="35"/>
      <c r="AB208" s="35"/>
      <c r="AC208" s="35"/>
      <c r="AD208" s="35"/>
      <c r="AE208" s="35"/>
      <c r="AF208" s="35"/>
      <c r="AG208" s="35"/>
      <c r="AH208" s="35"/>
      <c r="AI208" s="35"/>
      <c r="AJ208" s="35"/>
      <c r="AK208" s="35"/>
      <c r="AL208" s="35"/>
      <c r="AM208" s="35"/>
      <c r="AN208" s="36"/>
      <c r="AO208" s="36"/>
      <c r="AP208" s="36"/>
      <c r="AQ208" s="36"/>
      <c r="AR208" s="36"/>
      <c r="AS208" s="36"/>
      <c r="AT208" s="36"/>
      <c r="AU208" s="36"/>
      <c r="AV208" s="36"/>
      <c r="AW208" s="36"/>
      <c r="AX208" s="36"/>
      <c r="AY208" s="36"/>
      <c r="AZ208" s="36"/>
      <c r="BA208" s="36"/>
      <c r="BB208" s="36"/>
      <c r="BC208" s="36"/>
      <c r="BD208" s="36"/>
      <c r="BE208" s="36"/>
    </row>
    <row r="209" spans="2:59" s="30" customFormat="1" ht="15" x14ac:dyDescent="0.2">
      <c r="B209" s="285" t="s">
        <v>614</v>
      </c>
      <c r="C209" s="52"/>
      <c r="D209" s="52"/>
      <c r="G209" s="33"/>
      <c r="H209" s="81"/>
      <c r="J209" s="32"/>
      <c r="K209" s="33"/>
      <c r="L209" s="33"/>
      <c r="M209" s="81"/>
      <c r="N209" s="81"/>
      <c r="O209" s="96"/>
      <c r="Q209" s="34"/>
      <c r="R209" s="35"/>
      <c r="S209" s="35"/>
      <c r="T209" s="35"/>
      <c r="U209" s="104"/>
      <c r="V209" s="35"/>
      <c r="W209" s="35"/>
      <c r="X209" s="35"/>
      <c r="Y209" s="35"/>
      <c r="Z209" s="35"/>
      <c r="AA209" s="35"/>
      <c r="AB209" s="35"/>
      <c r="AC209" s="35"/>
      <c r="AD209" s="35"/>
      <c r="AE209" s="35"/>
      <c r="AF209" s="35"/>
      <c r="AG209" s="35"/>
      <c r="AH209" s="35"/>
      <c r="AI209" s="35"/>
      <c r="AJ209" s="35"/>
      <c r="AK209" s="35"/>
      <c r="AL209" s="35"/>
      <c r="AM209" s="35"/>
      <c r="AN209" s="36"/>
      <c r="AO209" s="36"/>
      <c r="AP209" s="36"/>
      <c r="AQ209" s="36"/>
      <c r="AR209" s="36"/>
      <c r="AS209" s="36"/>
      <c r="AT209" s="36"/>
      <c r="AU209" s="36"/>
      <c r="AV209" s="36"/>
      <c r="AW209" s="36"/>
      <c r="AX209" s="36"/>
      <c r="AY209" s="36"/>
      <c r="AZ209" s="36"/>
      <c r="BA209" s="36"/>
      <c r="BB209" s="36"/>
      <c r="BC209" s="36"/>
      <c r="BD209" s="36"/>
      <c r="BE209" s="36"/>
    </row>
    <row r="210" spans="2:59" s="30" customFormat="1" ht="15" x14ac:dyDescent="0.2">
      <c r="B210" s="52"/>
      <c r="C210" s="33"/>
      <c r="D210" s="33"/>
      <c r="E210" s="57"/>
      <c r="G210" s="33"/>
      <c r="H210" s="81"/>
      <c r="J210" s="32"/>
      <c r="K210" s="33"/>
      <c r="L210" s="33"/>
      <c r="M210" s="81"/>
      <c r="N210" s="81"/>
      <c r="O210" s="81"/>
      <c r="Q210" s="34"/>
      <c r="R210" s="95"/>
      <c r="S210" s="35"/>
      <c r="T210" s="35"/>
      <c r="U210" s="35"/>
      <c r="V210" s="35"/>
      <c r="W210" s="35"/>
      <c r="X210" s="35"/>
      <c r="Y210" s="35"/>
      <c r="Z210" s="35"/>
      <c r="AA210" s="35"/>
      <c r="AB210" s="35"/>
      <c r="AC210" s="35"/>
      <c r="AD210" s="35"/>
      <c r="AE210" s="35"/>
      <c r="AF210" s="35"/>
      <c r="AG210" s="35"/>
      <c r="AH210" s="35"/>
      <c r="AI210" s="35"/>
      <c r="AJ210" s="35"/>
      <c r="AK210" s="35"/>
      <c r="AL210" s="35"/>
      <c r="AM210" s="35"/>
      <c r="AN210" s="36"/>
      <c r="AO210" s="36"/>
      <c r="AP210" s="36"/>
      <c r="AQ210" s="36"/>
      <c r="AR210" s="36"/>
      <c r="AS210" s="36"/>
      <c r="AT210" s="36"/>
      <c r="AU210" s="36"/>
      <c r="AV210" s="36"/>
      <c r="AW210" s="36"/>
      <c r="AX210" s="36"/>
      <c r="AY210" s="36"/>
      <c r="AZ210" s="36"/>
      <c r="BA210" s="36"/>
      <c r="BB210" s="36"/>
      <c r="BC210" s="36"/>
      <c r="BD210" s="36"/>
      <c r="BE210" s="36"/>
    </row>
    <row r="211" spans="2:59" s="289" customFormat="1" ht="18" x14ac:dyDescent="0.2">
      <c r="B211" s="286" t="s">
        <v>42</v>
      </c>
      <c r="C211" s="287"/>
      <c r="D211" s="288"/>
      <c r="G211" s="287"/>
      <c r="H211" s="288"/>
      <c r="K211" s="287"/>
      <c r="L211" s="287"/>
      <c r="M211" s="288"/>
      <c r="N211" s="288"/>
      <c r="O211" s="291"/>
      <c r="P211" s="311"/>
      <c r="Q211" s="295"/>
      <c r="R211" s="289" t="str">
        <f>IF(OR(ISNUMBER(#REF!),ISNUMBER(#REF!),ISNUMBER(#REF!)),SUM(#REF!,#REF!,#REF!),"")</f>
        <v/>
      </c>
      <c r="S211" s="294"/>
      <c r="T211" s="294"/>
      <c r="U211" s="294"/>
      <c r="V211" s="294"/>
      <c r="W211" s="294"/>
      <c r="X211" s="294"/>
      <c r="Y211" s="294"/>
      <c r="Z211" s="294"/>
      <c r="AA211" s="294"/>
      <c r="AB211" s="294"/>
      <c r="AC211" s="294"/>
      <c r="AD211" s="294"/>
      <c r="AE211" s="294"/>
      <c r="AF211" s="294"/>
      <c r="AG211" s="294"/>
      <c r="AH211" s="294"/>
      <c r="AI211" s="294"/>
      <c r="AJ211" s="294"/>
      <c r="AK211" s="294"/>
      <c r="AL211" s="294"/>
      <c r="AM211" s="294"/>
      <c r="AN211" s="295"/>
      <c r="AO211" s="295"/>
      <c r="AP211" s="295"/>
      <c r="AQ211" s="295"/>
      <c r="AR211" s="295"/>
      <c r="AS211" s="295"/>
      <c r="AT211" s="295"/>
      <c r="AU211" s="295"/>
      <c r="AV211" s="295"/>
      <c r="AW211" s="295"/>
      <c r="AX211" s="295"/>
      <c r="AY211" s="295"/>
      <c r="AZ211" s="295"/>
      <c r="BA211" s="295"/>
      <c r="BB211" s="295"/>
      <c r="BC211" s="295"/>
      <c r="BD211" s="295"/>
      <c r="BE211" s="295"/>
    </row>
    <row r="212" spans="2:59" s="30" customFormat="1" ht="15.75" x14ac:dyDescent="0.2">
      <c r="B212" s="8"/>
      <c r="C212" s="33"/>
      <c r="D212" s="81"/>
      <c r="G212" s="33" t="s">
        <v>43</v>
      </c>
      <c r="H212" s="81"/>
      <c r="K212" s="37" t="s">
        <v>297</v>
      </c>
      <c r="L212" s="37" t="s">
        <v>185</v>
      </c>
      <c r="M212" s="81"/>
      <c r="N212" s="81"/>
      <c r="O212" s="249" t="s">
        <v>584</v>
      </c>
      <c r="Q212" s="34"/>
      <c r="R212" s="35" t="s">
        <v>318</v>
      </c>
      <c r="S212" s="35"/>
      <c r="T212" s="35" t="s">
        <v>238</v>
      </c>
      <c r="U212" s="35" t="s">
        <v>239</v>
      </c>
      <c r="V212" s="35" t="s">
        <v>240</v>
      </c>
      <c r="W212" s="35" t="s">
        <v>243</v>
      </c>
      <c r="X212" s="35" t="s">
        <v>241</v>
      </c>
      <c r="Y212" s="35" t="s">
        <v>242</v>
      </c>
      <c r="Z212" s="35" t="s">
        <v>244</v>
      </c>
      <c r="AA212" s="104"/>
      <c r="AB212" s="35"/>
      <c r="AC212" s="35"/>
      <c r="AD212" s="35"/>
      <c r="AE212" s="35"/>
      <c r="AF212" s="35"/>
      <c r="AG212" s="35"/>
      <c r="AH212" s="35"/>
      <c r="AI212" s="35"/>
      <c r="AJ212" s="35"/>
      <c r="AK212" s="35"/>
      <c r="AL212" s="35"/>
      <c r="AM212" s="35"/>
      <c r="AN212" s="36"/>
      <c r="AO212" s="36"/>
      <c r="AP212" s="36"/>
      <c r="AQ212" s="36"/>
      <c r="AR212" s="36"/>
      <c r="AS212" s="36"/>
      <c r="AT212" s="36"/>
      <c r="AU212" s="36"/>
      <c r="AV212" s="36"/>
      <c r="AW212" s="36"/>
      <c r="AX212" s="36"/>
      <c r="AY212" s="36"/>
      <c r="AZ212" s="36"/>
      <c r="BA212" s="36"/>
      <c r="BB212" s="36"/>
      <c r="BC212" s="36"/>
      <c r="BD212" s="36"/>
      <c r="BE212" s="36"/>
    </row>
    <row r="213" spans="2:59" s="30" customFormat="1" ht="15" x14ac:dyDescent="0.2">
      <c r="B213" s="52" t="s">
        <v>530</v>
      </c>
      <c r="C213" s="156"/>
      <c r="D213" s="81" t="s">
        <v>215</v>
      </c>
      <c r="G213" s="156"/>
      <c r="H213" s="81" t="s">
        <v>44</v>
      </c>
      <c r="J213" s="32" t="s">
        <v>514</v>
      </c>
      <c r="K213" s="108" t="str">
        <f>IFERROR(IF(ISNUMBER(L213),L213,VLOOKUP(C217,Kalusto!$C$100:$E$105,3,FALSE)),"--")</f>
        <v>--</v>
      </c>
      <c r="L213" s="61"/>
      <c r="M213" s="75" t="str">
        <f>IF(C217=Pudotusvalikot!$J$9,"kWh/100 km",IF(C217=Pudotusvalikot!$J$6,"kg/100 km","l/100 km"))</f>
        <v>l/100 km</v>
      </c>
      <c r="N213" s="75"/>
      <c r="O213" s="250"/>
      <c r="Q213" s="34"/>
      <c r="R213" s="105">
        <f>SUM(U213:Z213)</f>
        <v>0</v>
      </c>
      <c r="S213" s="98" t="s">
        <v>160</v>
      </c>
      <c r="T213" s="46">
        <f>IF(ISNUMBER(C214*C213*G213),C214*C213*G213,"")</f>
        <v>0</v>
      </c>
      <c r="U213" s="48">
        <f>IF(ISNUMBER(T213),IF(C217=Pudotusvalikot!$J$5,(Muut!$F$16+Muut!$F$19)*(T213*K213/100),0),"")</f>
        <v>0</v>
      </c>
      <c r="V213" s="48">
        <f>IF(ISNUMBER(T213),IF(C217=Pudotusvalikot!$J$4,(Muut!$F$15+Muut!$F$18)*(T213*K213/100),0),"")</f>
        <v>0</v>
      </c>
      <c r="W213" s="48">
        <f>IF(ISNUMBER(T213),IF(C217=Pudotusvalikot!$J$6,(Muut!$F$17+Muut!$F$20)*(T213*K213/100),0),"")</f>
        <v>0</v>
      </c>
      <c r="X213" s="48">
        <f>IF(ISNUMBER(T213),IF(C217=Pudotusvalikot!$J$7,((Muut!$F$16+Muut!$F$19)*(100%-Kalusto!$O$103)+(Muut!$F$15+Muut!$F$18)*Kalusto!$O$103)*(T213*K213/100),0),"")</f>
        <v>0</v>
      </c>
      <c r="Y213" s="72">
        <f>IF(ISNUMBER(T213),IF(C217=Pudotusvalikot!$J$8,((Kalusto!$K$104)*(100%-Kalusto!$O$104)+(Kalusto!$M$104)*Kalusto!$O$104)*(Muut!$F$14+Muut!$F$13)/100*T213/1000+((Kalusto!$G$104)*(100%-Kalusto!$O$104)+(Kalusto!$I$104)*Kalusto!$O$104)*(K213+Muut!$F$19)/100*T213,0),"")</f>
        <v>0</v>
      </c>
      <c r="Z213" s="72">
        <f>IF(ISNUMBER(T213),IF(C217=Pudotusvalikot!$J$9,Kalusto!$E$105*(K213+Muut!$F$13)/100*T213/1000,0),"")</f>
        <v>0</v>
      </c>
      <c r="AA213" s="104"/>
      <c r="AB213" s="35"/>
      <c r="AC213" s="35"/>
      <c r="AD213" s="35"/>
      <c r="AE213" s="35"/>
      <c r="AF213" s="35"/>
      <c r="AG213" s="35"/>
      <c r="AH213" s="35"/>
      <c r="AI213" s="35"/>
      <c r="AJ213" s="35"/>
      <c r="AK213" s="35"/>
      <c r="AL213" s="35"/>
      <c r="AM213" s="35"/>
      <c r="AN213" s="36"/>
      <c r="AO213" s="36"/>
      <c r="AP213" s="36"/>
      <c r="AQ213" s="36"/>
      <c r="AR213" s="36"/>
      <c r="AS213" s="36"/>
      <c r="AT213" s="36"/>
      <c r="AU213" s="36"/>
      <c r="AV213" s="36"/>
      <c r="AW213" s="36"/>
      <c r="AX213" s="36"/>
      <c r="AY213" s="36"/>
      <c r="AZ213" s="36"/>
      <c r="BA213" s="36"/>
      <c r="BB213" s="36"/>
      <c r="BC213" s="36"/>
      <c r="BD213" s="36"/>
      <c r="BE213" s="36"/>
    </row>
    <row r="214" spans="2:59" s="30" customFormat="1" ht="15" x14ac:dyDescent="0.2">
      <c r="B214" s="44" t="s">
        <v>529</v>
      </c>
      <c r="C214" s="156"/>
      <c r="D214" s="81" t="s">
        <v>5</v>
      </c>
      <c r="G214" s="33"/>
      <c r="H214" s="81"/>
      <c r="K214" s="130"/>
      <c r="L214" s="37"/>
      <c r="M214" s="81"/>
      <c r="N214" s="81"/>
      <c r="O214" s="96"/>
      <c r="Q214" s="34"/>
      <c r="R214" s="35" t="s">
        <v>318</v>
      </c>
      <c r="S214" s="35"/>
      <c r="T214" s="35" t="s">
        <v>238</v>
      </c>
      <c r="U214" s="35" t="s">
        <v>239</v>
      </c>
      <c r="V214" s="35" t="s">
        <v>240</v>
      </c>
      <c r="W214" s="35" t="s">
        <v>243</v>
      </c>
      <c r="X214" s="35" t="s">
        <v>241</v>
      </c>
      <c r="Y214" s="35" t="s">
        <v>242</v>
      </c>
      <c r="Z214" s="35" t="s">
        <v>244</v>
      </c>
      <c r="AA214" s="104"/>
      <c r="AB214" s="35"/>
      <c r="AC214" s="35"/>
      <c r="AD214" s="35"/>
      <c r="AE214" s="35"/>
      <c r="AF214" s="35"/>
      <c r="AG214" s="35"/>
      <c r="AH214" s="35"/>
      <c r="AI214" s="35"/>
      <c r="AJ214" s="35"/>
      <c r="AK214" s="35"/>
      <c r="AL214" s="35"/>
      <c r="AM214" s="35"/>
      <c r="AN214" s="36"/>
      <c r="AO214" s="36"/>
      <c r="AP214" s="36"/>
      <c r="AQ214" s="36"/>
      <c r="AR214" s="36"/>
      <c r="AS214" s="36"/>
      <c r="AT214" s="36"/>
      <c r="AU214" s="36"/>
      <c r="AV214" s="36"/>
      <c r="AW214" s="36"/>
      <c r="AX214" s="36"/>
      <c r="AY214" s="36"/>
      <c r="AZ214" s="36"/>
      <c r="BA214" s="36"/>
      <c r="BB214" s="36"/>
      <c r="BC214" s="36"/>
      <c r="BD214" s="36"/>
      <c r="BE214" s="36"/>
    </row>
    <row r="215" spans="2:59" s="30" customFormat="1" ht="30" x14ac:dyDescent="0.2">
      <c r="B215" s="76" t="s">
        <v>528</v>
      </c>
      <c r="C215" s="156"/>
      <c r="D215" s="81" t="s">
        <v>216</v>
      </c>
      <c r="G215" s="156"/>
      <c r="H215" s="81" t="s">
        <v>44</v>
      </c>
      <c r="J215" s="32" t="s">
        <v>514</v>
      </c>
      <c r="K215" s="108" t="str">
        <f>IFERROR(IF(ISNUMBER(L215),L215,VLOOKUP(C217,Kalusto!$C$100:$E$105,3,FALSE)),"--")</f>
        <v>--</v>
      </c>
      <c r="L215" s="61"/>
      <c r="M215" s="75" t="str">
        <f>IF(C217=Pudotusvalikot!$J$9,"kWh/100 km",IF(C217=Pudotusvalikot!$J$6,"kg/100 km","l/100 km"))</f>
        <v>l/100 km</v>
      </c>
      <c r="N215" s="75"/>
      <c r="O215" s="263"/>
      <c r="Q215" s="34"/>
      <c r="R215" s="105">
        <f>SUM(U215:Z215)</f>
        <v>0</v>
      </c>
      <c r="S215" s="98" t="s">
        <v>160</v>
      </c>
      <c r="T215" s="46">
        <f>IF(ISNUMBER(C216*C215*50*G215),C216*C215*50*G215,"")</f>
        <v>0</v>
      </c>
      <c r="U215" s="48">
        <f>IF(ISNUMBER(T215),IF(C217=Pudotusvalikot!$J$5,(Muut!$F$16+Muut!$F$19)*(T215*K215/100),0),"")</f>
        <v>0</v>
      </c>
      <c r="V215" s="48">
        <f>IF(ISNUMBER(T215),IF(C217=Pudotusvalikot!$J$4,(Muut!$F$15+Muut!$F$18)*(T215*K215/100),0),"")</f>
        <v>0</v>
      </c>
      <c r="W215" s="48">
        <f>IF(ISNUMBER(T215),IF(C217=Pudotusvalikot!$J$6,(Muut!$F$17+Muut!$F$20)*(T215*K215/100),0),"")</f>
        <v>0</v>
      </c>
      <c r="X215" s="48">
        <f>IF(ISNUMBER(T215),IF(C217=Pudotusvalikot!$J$7,((Muut!$F$16+Muut!$F$19)*(100%-Kalusto!$O$103)+(Muut!$F$15+Muut!$F$18)*Kalusto!$O$103)*(T215*K215/100),0),"")</f>
        <v>0</v>
      </c>
      <c r="Y215" s="72">
        <f>IF(ISNUMBER(T215),IF(C217=Pudotusvalikot!$J$8,((Kalusto!$K$104)*(100%-Kalusto!$O$104)+(Kalusto!$M$104)*Kalusto!$O$104)*(Muut!$F$14+Muut!$F$13)/100*T215/1000+((Kalusto!$G$104)*(100%-Kalusto!$O$104)+(Kalusto!$I$104)*Kalusto!$O$104)*(K215+Muut!$F$19)/100*T215,0),"")</f>
        <v>0</v>
      </c>
      <c r="Z215" s="72">
        <f>IF(ISNUMBER(T215),IF(C217=Pudotusvalikot!$J$9,Kalusto!$E$105*(K215+Muut!$F$13)/100*T215/1000,0),"")</f>
        <v>0</v>
      </c>
      <c r="AA215" s="104"/>
      <c r="AB215" s="35"/>
      <c r="AC215" s="35"/>
      <c r="AD215" s="35"/>
      <c r="AE215" s="35"/>
      <c r="AF215" s="35"/>
      <c r="AG215" s="35"/>
      <c r="AH215" s="35"/>
      <c r="AI215" s="35"/>
      <c r="AJ215" s="35"/>
      <c r="AK215" s="35"/>
      <c r="AL215" s="35"/>
      <c r="AM215" s="35"/>
      <c r="AN215" s="36"/>
      <c r="AO215" s="36"/>
      <c r="AP215" s="36"/>
      <c r="AQ215" s="36"/>
      <c r="AR215" s="36"/>
      <c r="AS215" s="36"/>
      <c r="AT215" s="36"/>
      <c r="AU215" s="36"/>
      <c r="AV215" s="36"/>
      <c r="AW215" s="36"/>
      <c r="AX215" s="36"/>
      <c r="AY215" s="36"/>
      <c r="AZ215" s="36"/>
      <c r="BA215" s="36"/>
      <c r="BB215" s="36"/>
      <c r="BC215" s="36"/>
      <c r="BD215" s="36"/>
      <c r="BE215" s="36"/>
    </row>
    <row r="216" spans="2:59" s="30" customFormat="1" ht="15" x14ac:dyDescent="0.2">
      <c r="B216" s="44" t="s">
        <v>527</v>
      </c>
      <c r="C216" s="156"/>
      <c r="D216" s="81" t="s">
        <v>5</v>
      </c>
      <c r="G216" s="33"/>
      <c r="H216" s="81"/>
      <c r="K216" s="130"/>
      <c r="L216" s="37"/>
      <c r="M216" s="81"/>
      <c r="N216" s="81"/>
      <c r="O216" s="96"/>
      <c r="Q216" s="34"/>
      <c r="R216" s="35"/>
      <c r="S216" s="35"/>
      <c r="T216" s="35"/>
      <c r="U216" s="35"/>
      <c r="V216" s="35"/>
      <c r="W216" s="35"/>
      <c r="X216" s="35"/>
      <c r="Y216" s="35"/>
      <c r="Z216" s="35"/>
      <c r="AA216" s="104"/>
      <c r="AB216" s="35"/>
      <c r="AC216" s="35"/>
      <c r="AD216" s="35"/>
      <c r="AE216" s="35"/>
      <c r="AF216" s="35"/>
      <c r="AG216" s="35"/>
      <c r="AH216" s="35"/>
      <c r="AI216" s="35"/>
      <c r="AJ216" s="35"/>
      <c r="AK216" s="35"/>
      <c r="AL216" s="35"/>
      <c r="AM216" s="35"/>
      <c r="AN216" s="36"/>
      <c r="AO216" s="36"/>
      <c r="AP216" s="36"/>
      <c r="AQ216" s="36"/>
      <c r="AR216" s="36"/>
      <c r="AS216" s="36"/>
      <c r="AT216" s="36"/>
      <c r="AU216" s="36"/>
      <c r="AV216" s="36"/>
      <c r="AW216" s="36"/>
      <c r="AX216" s="36"/>
      <c r="AY216" s="36"/>
      <c r="AZ216" s="36"/>
      <c r="BA216" s="36"/>
      <c r="BB216" s="36"/>
      <c r="BC216" s="36"/>
      <c r="BD216" s="36"/>
      <c r="BE216" s="36"/>
    </row>
    <row r="217" spans="2:59" s="30" customFormat="1" ht="15" x14ac:dyDescent="0.2">
      <c r="B217" s="52" t="s">
        <v>524</v>
      </c>
      <c r="C217" s="474" t="s">
        <v>309</v>
      </c>
      <c r="D217" s="474"/>
      <c r="G217" s="33"/>
      <c r="H217" s="81"/>
      <c r="J217" s="32"/>
      <c r="K217" s="33"/>
      <c r="L217" s="33"/>
      <c r="M217" s="81"/>
      <c r="N217" s="81"/>
      <c r="O217" s="96"/>
      <c r="Q217" s="34"/>
      <c r="R217" s="95"/>
      <c r="S217" s="35"/>
      <c r="T217" s="35"/>
      <c r="U217" s="35"/>
      <c r="V217" s="35"/>
      <c r="W217" s="35"/>
      <c r="X217" s="35"/>
      <c r="Y217" s="35"/>
      <c r="Z217" s="35"/>
      <c r="AA217" s="35"/>
      <c r="AB217" s="35"/>
      <c r="AC217" s="35"/>
      <c r="AD217" s="35"/>
      <c r="AE217" s="35"/>
      <c r="AF217" s="35"/>
      <c r="AG217" s="35"/>
      <c r="AH217" s="35"/>
      <c r="AI217" s="35"/>
      <c r="AJ217" s="35"/>
      <c r="AK217" s="35"/>
      <c r="AL217" s="35"/>
      <c r="AM217" s="35"/>
      <c r="AN217" s="36"/>
      <c r="AO217" s="36"/>
      <c r="AP217" s="36"/>
      <c r="AQ217" s="36"/>
      <c r="AR217" s="36"/>
      <c r="AS217" s="36"/>
      <c r="AT217" s="36"/>
      <c r="AU217" s="36"/>
      <c r="AV217" s="36"/>
      <c r="AW217" s="36"/>
      <c r="AX217" s="36"/>
      <c r="AY217" s="36"/>
      <c r="AZ217" s="36"/>
      <c r="BA217" s="36"/>
      <c r="BB217" s="36"/>
      <c r="BC217" s="36"/>
      <c r="BD217" s="36"/>
      <c r="BE217" s="36"/>
    </row>
    <row r="218" spans="2:59" s="30" customFormat="1" ht="15" x14ac:dyDescent="0.2">
      <c r="B218" s="52"/>
      <c r="C218" s="33"/>
      <c r="D218" s="33"/>
      <c r="E218" s="57"/>
      <c r="G218" s="33"/>
      <c r="H218" s="81"/>
      <c r="J218" s="32"/>
      <c r="K218" s="33"/>
      <c r="L218" s="33"/>
      <c r="M218" s="81"/>
      <c r="N218" s="81"/>
      <c r="O218" s="96"/>
      <c r="Q218" s="34"/>
      <c r="R218" s="95"/>
      <c r="S218" s="35"/>
      <c r="T218" s="35"/>
      <c r="U218" s="35"/>
      <c r="V218" s="35"/>
      <c r="W218" s="35"/>
      <c r="X218" s="35"/>
      <c r="Y218" s="35"/>
      <c r="Z218" s="35"/>
      <c r="AA218" s="35"/>
      <c r="AB218" s="35"/>
      <c r="AC218" s="35"/>
      <c r="AD218" s="35"/>
      <c r="AE218" s="35"/>
      <c r="AF218" s="35"/>
      <c r="AG218" s="35"/>
      <c r="AH218" s="35"/>
      <c r="AI218" s="35"/>
      <c r="AJ218" s="35"/>
      <c r="AK218" s="35"/>
      <c r="AL218" s="35"/>
      <c r="AM218" s="35"/>
      <c r="AN218" s="36"/>
      <c r="AO218" s="36"/>
      <c r="AP218" s="36"/>
      <c r="AQ218" s="36"/>
      <c r="AR218" s="36"/>
      <c r="AS218" s="36"/>
      <c r="AT218" s="36"/>
      <c r="AU218" s="36"/>
      <c r="AV218" s="36"/>
      <c r="AW218" s="36"/>
      <c r="AX218" s="36"/>
      <c r="AY218" s="36"/>
      <c r="AZ218" s="36"/>
      <c r="BA218" s="36"/>
      <c r="BB218" s="36"/>
      <c r="BC218" s="36"/>
      <c r="BD218" s="36"/>
      <c r="BE218" s="36"/>
    </row>
    <row r="219" spans="2:59" s="192" customFormat="1" ht="23.25" x14ac:dyDescent="0.2">
      <c r="B219" s="193" t="s">
        <v>290</v>
      </c>
      <c r="C219" s="194"/>
      <c r="D219" s="195"/>
      <c r="G219" s="194"/>
      <c r="H219" s="195"/>
      <c r="J219" s="196"/>
      <c r="O219" s="264"/>
      <c r="P219" s="197"/>
      <c r="Q219" s="198"/>
      <c r="R219" s="199"/>
      <c r="S219" s="198"/>
      <c r="T219" s="200"/>
      <c r="U219" s="201"/>
      <c r="V219" s="201"/>
      <c r="W219" s="201"/>
      <c r="X219" s="201"/>
      <c r="Y219" s="201"/>
      <c r="Z219" s="201"/>
      <c r="AA219" s="201"/>
      <c r="AB219" s="201"/>
      <c r="AC219" s="201"/>
      <c r="AD219" s="201"/>
      <c r="AE219" s="201"/>
      <c r="AF219" s="201"/>
      <c r="AG219" s="201"/>
      <c r="AH219" s="201"/>
      <c r="AI219" s="201"/>
      <c r="AJ219" s="201"/>
      <c r="AK219" s="201"/>
      <c r="AL219" s="201"/>
      <c r="AM219" s="201"/>
      <c r="AN219" s="201"/>
      <c r="AO219" s="201"/>
      <c r="AP219" s="200"/>
      <c r="AQ219" s="200"/>
      <c r="AR219" s="200"/>
      <c r="AS219" s="200"/>
      <c r="AT219" s="200"/>
      <c r="AU219" s="200"/>
      <c r="AV219" s="200"/>
      <c r="AW219" s="200"/>
      <c r="AX219" s="200"/>
      <c r="AY219" s="200"/>
      <c r="AZ219" s="200"/>
      <c r="BA219" s="200"/>
      <c r="BB219" s="200"/>
      <c r="BC219" s="200"/>
      <c r="BD219" s="200"/>
      <c r="BE219" s="200"/>
      <c r="BF219" s="200"/>
      <c r="BG219" s="200"/>
    </row>
    <row r="220" spans="2:59" s="30" customFormat="1" ht="15.75" x14ac:dyDescent="0.2">
      <c r="B220" s="8"/>
      <c r="C220" s="33"/>
      <c r="D220" s="81"/>
      <c r="G220" s="33"/>
      <c r="H220" s="81"/>
      <c r="K220" s="33"/>
      <c r="L220" s="33"/>
      <c r="M220" s="81"/>
      <c r="N220" s="81"/>
      <c r="O220" s="81"/>
      <c r="Q220" s="34"/>
      <c r="R220" s="95"/>
      <c r="S220" s="35"/>
      <c r="T220" s="35"/>
      <c r="U220" s="35"/>
      <c r="V220" s="35"/>
      <c r="W220" s="35"/>
      <c r="X220" s="35"/>
      <c r="Y220" s="35"/>
      <c r="Z220" s="35"/>
      <c r="AA220" s="35"/>
      <c r="AB220" s="35"/>
      <c r="AC220" s="35"/>
      <c r="AD220" s="35"/>
      <c r="AE220" s="35"/>
      <c r="AF220" s="35"/>
      <c r="AG220" s="35"/>
      <c r="AH220" s="35"/>
      <c r="AI220" s="35"/>
      <c r="AJ220" s="35"/>
      <c r="AK220" s="35"/>
      <c r="AL220" s="35"/>
      <c r="AM220" s="35"/>
      <c r="AN220" s="36"/>
      <c r="AO220" s="36"/>
      <c r="AP220" s="36"/>
      <c r="AQ220" s="36"/>
      <c r="AR220" s="36"/>
      <c r="AS220" s="36"/>
      <c r="AT220" s="36"/>
      <c r="AU220" s="36"/>
      <c r="AV220" s="36"/>
      <c r="AW220" s="36"/>
      <c r="AX220" s="36"/>
      <c r="AY220" s="36"/>
      <c r="AZ220" s="36"/>
      <c r="BA220" s="36"/>
      <c r="BB220" s="36"/>
      <c r="BC220" s="36"/>
      <c r="BD220" s="36"/>
      <c r="BE220" s="36"/>
    </row>
    <row r="221" spans="2:59" s="289" customFormat="1" ht="18" x14ac:dyDescent="0.2">
      <c r="B221" s="286" t="s">
        <v>440</v>
      </c>
      <c r="C221" s="287"/>
      <c r="D221" s="288"/>
      <c r="G221" s="287"/>
      <c r="H221" s="288"/>
      <c r="K221" s="287"/>
      <c r="L221" s="287"/>
      <c r="M221" s="288"/>
      <c r="N221" s="288"/>
      <c r="O221" s="291"/>
      <c r="P221" s="311"/>
      <c r="Q221" s="295"/>
      <c r="R221" s="289" t="str">
        <f>IF(OR(ISNUMBER(#REF!),ISNUMBER(#REF!),ISNUMBER(#REF!)),SUM(#REF!,#REF!,#REF!),"")</f>
        <v/>
      </c>
      <c r="S221" s="294"/>
      <c r="T221" s="294"/>
      <c r="U221" s="294"/>
      <c r="V221" s="294"/>
      <c r="W221" s="294"/>
      <c r="X221" s="294"/>
      <c r="Y221" s="294"/>
      <c r="Z221" s="294"/>
      <c r="AA221" s="294"/>
      <c r="AB221" s="294"/>
      <c r="AC221" s="294"/>
      <c r="AD221" s="294"/>
      <c r="AE221" s="294"/>
      <c r="AF221" s="294"/>
      <c r="AG221" s="294"/>
      <c r="AH221" s="294"/>
      <c r="AI221" s="294"/>
      <c r="AJ221" s="294"/>
      <c r="AK221" s="294"/>
      <c r="AL221" s="294"/>
      <c r="AM221" s="294"/>
      <c r="AN221" s="295"/>
      <c r="AO221" s="295"/>
      <c r="AP221" s="295"/>
      <c r="AQ221" s="295"/>
      <c r="AR221" s="295"/>
      <c r="AS221" s="295"/>
      <c r="AT221" s="295"/>
      <c r="AU221" s="295"/>
      <c r="AV221" s="295"/>
      <c r="AW221" s="295"/>
      <c r="AX221" s="295"/>
      <c r="AY221" s="295"/>
      <c r="AZ221" s="295"/>
      <c r="BA221" s="295"/>
      <c r="BB221" s="295"/>
      <c r="BC221" s="295"/>
      <c r="BD221" s="295"/>
      <c r="BE221" s="295"/>
    </row>
    <row r="222" spans="2:59" s="30" customFormat="1" ht="15.75" x14ac:dyDescent="0.2">
      <c r="B222" s="8"/>
      <c r="C222" s="33"/>
      <c r="D222" s="81"/>
      <c r="G222" s="33"/>
      <c r="H222" s="81"/>
      <c r="K222" s="33"/>
      <c r="L222" s="33"/>
      <c r="M222" s="81"/>
      <c r="N222" s="81"/>
      <c r="O222" s="81"/>
      <c r="Q222" s="34"/>
      <c r="R222" s="95"/>
      <c r="S222" s="35"/>
      <c r="T222" s="35"/>
      <c r="U222" s="35"/>
      <c r="V222" s="35"/>
      <c r="W222" s="35"/>
      <c r="X222" s="35"/>
      <c r="Y222" s="35"/>
      <c r="Z222" s="35"/>
      <c r="AA222" s="35"/>
      <c r="AB222" s="35"/>
      <c r="AC222" s="35"/>
      <c r="AD222" s="35"/>
      <c r="AE222" s="35"/>
      <c r="AF222" s="35"/>
      <c r="AG222" s="35"/>
      <c r="AH222" s="35"/>
      <c r="AI222" s="35"/>
      <c r="AJ222" s="35"/>
      <c r="AK222" s="35"/>
      <c r="AL222" s="35"/>
      <c r="AM222" s="35"/>
      <c r="AN222" s="36"/>
      <c r="AO222" s="36"/>
      <c r="AP222" s="36"/>
      <c r="AQ222" s="36"/>
      <c r="AR222" s="36"/>
      <c r="AS222" s="36"/>
      <c r="AT222" s="36"/>
      <c r="AU222" s="36"/>
      <c r="AV222" s="36"/>
      <c r="AW222" s="36"/>
      <c r="AX222" s="36"/>
      <c r="AY222" s="36"/>
      <c r="AZ222" s="36"/>
      <c r="BA222" s="36"/>
      <c r="BB222" s="36"/>
      <c r="BC222" s="36"/>
      <c r="BD222" s="36"/>
      <c r="BE222" s="36"/>
      <c r="BF222" s="104"/>
      <c r="BG222" s="104"/>
    </row>
    <row r="223" spans="2:59" s="289" customFormat="1" ht="18" x14ac:dyDescent="0.2">
      <c r="B223" s="286" t="s">
        <v>55</v>
      </c>
      <c r="C223" s="287"/>
      <c r="D223" s="288"/>
      <c r="G223" s="287"/>
      <c r="H223" s="288"/>
      <c r="K223" s="287"/>
      <c r="L223" s="287"/>
      <c r="M223" s="288"/>
      <c r="N223" s="288"/>
      <c r="O223" s="291"/>
      <c r="P223" s="311"/>
      <c r="Q223" s="295"/>
      <c r="R223" s="289" t="str">
        <f>IF(OR(ISNUMBER(#REF!),ISNUMBER(#REF!),ISNUMBER(#REF!)),SUM(#REF!,#REF!,#REF!),"")</f>
        <v/>
      </c>
      <c r="S223" s="294"/>
      <c r="T223" s="294"/>
      <c r="U223" s="294"/>
      <c r="V223" s="294"/>
      <c r="W223" s="294"/>
      <c r="X223" s="294"/>
      <c r="Y223" s="294"/>
      <c r="Z223" s="294"/>
      <c r="AA223" s="294"/>
      <c r="AB223" s="294"/>
      <c r="AC223" s="294"/>
      <c r="AD223" s="294"/>
      <c r="AE223" s="294"/>
      <c r="AF223" s="294"/>
      <c r="AG223" s="294"/>
      <c r="AH223" s="294"/>
      <c r="AI223" s="294"/>
      <c r="AJ223" s="294"/>
      <c r="AK223" s="294"/>
      <c r="AL223" s="294"/>
      <c r="AM223" s="294"/>
      <c r="AN223" s="295"/>
      <c r="AO223" s="295"/>
      <c r="AP223" s="295"/>
      <c r="AQ223" s="295"/>
      <c r="AR223" s="295"/>
      <c r="AS223" s="295"/>
      <c r="AT223" s="295"/>
      <c r="AU223" s="295"/>
      <c r="AV223" s="295"/>
      <c r="AW223" s="295"/>
      <c r="AX223" s="295"/>
      <c r="AY223" s="295"/>
      <c r="AZ223" s="295"/>
      <c r="BA223" s="295"/>
      <c r="BB223" s="295"/>
      <c r="BC223" s="295"/>
      <c r="BD223" s="295"/>
      <c r="BE223" s="295"/>
    </row>
    <row r="224" spans="2:59" s="30" customFormat="1" ht="15.75" x14ac:dyDescent="0.2">
      <c r="B224" s="8"/>
      <c r="C224" s="33"/>
      <c r="D224" s="81"/>
      <c r="G224" s="33"/>
      <c r="H224" s="81"/>
      <c r="K224" s="33"/>
      <c r="L224" s="33"/>
      <c r="M224" s="81"/>
      <c r="N224" s="81"/>
      <c r="O224" s="81"/>
      <c r="Q224" s="34"/>
      <c r="R224" s="95"/>
      <c r="S224" s="35"/>
      <c r="T224" s="35"/>
      <c r="U224" s="35"/>
      <c r="V224" s="35"/>
      <c r="W224" s="35"/>
      <c r="X224" s="35"/>
      <c r="Y224" s="35"/>
      <c r="Z224" s="35"/>
      <c r="AA224" s="35"/>
      <c r="AB224" s="35"/>
      <c r="AC224" s="35"/>
      <c r="AD224" s="35"/>
      <c r="AE224" s="35"/>
      <c r="AF224" s="35"/>
      <c r="AG224" s="35"/>
      <c r="AH224" s="35"/>
      <c r="AI224" s="35"/>
      <c r="AJ224" s="35"/>
      <c r="AK224" s="35"/>
      <c r="AL224" s="35"/>
      <c r="AM224" s="35"/>
      <c r="AN224" s="36"/>
      <c r="AO224" s="36"/>
      <c r="AP224" s="36"/>
      <c r="AQ224" s="36"/>
      <c r="AR224" s="36"/>
      <c r="AS224" s="36"/>
      <c r="AT224" s="36"/>
      <c r="AU224" s="36"/>
      <c r="AV224" s="36"/>
      <c r="AW224" s="36"/>
      <c r="AX224" s="36"/>
      <c r="AY224" s="36"/>
      <c r="AZ224" s="36"/>
      <c r="BA224" s="36"/>
      <c r="BB224" s="36"/>
      <c r="BC224" s="36"/>
      <c r="BD224" s="36"/>
      <c r="BE224" s="36"/>
    </row>
    <row r="225" spans="2:57" s="30" customFormat="1" ht="15" x14ac:dyDescent="0.2">
      <c r="B225" s="151" t="s">
        <v>441</v>
      </c>
      <c r="C225" s="33"/>
      <c r="D225" s="81"/>
      <c r="G225" s="33"/>
      <c r="H225" s="81"/>
      <c r="K225" s="37" t="s">
        <v>297</v>
      </c>
      <c r="L225" s="37" t="s">
        <v>185</v>
      </c>
      <c r="M225" s="81"/>
      <c r="N225" s="81"/>
      <c r="O225" s="249" t="s">
        <v>584</v>
      </c>
      <c r="Q225" s="34"/>
      <c r="R225" s="35" t="s">
        <v>318</v>
      </c>
      <c r="S225" s="35"/>
      <c r="T225" s="35" t="s">
        <v>246</v>
      </c>
      <c r="U225" s="104"/>
      <c r="V225" s="35"/>
      <c r="W225" s="35"/>
      <c r="X225" s="35"/>
      <c r="Y225" s="35"/>
      <c r="Z225" s="35"/>
      <c r="AA225" s="35"/>
      <c r="AB225" s="35"/>
      <c r="AC225" s="35"/>
      <c r="AD225" s="35"/>
      <c r="AE225" s="35"/>
      <c r="AF225" s="35"/>
      <c r="AG225" s="35"/>
      <c r="AH225" s="35"/>
      <c r="AI225" s="35"/>
      <c r="AJ225" s="35"/>
      <c r="AK225" s="35"/>
      <c r="AL225" s="35"/>
      <c r="AM225" s="35"/>
      <c r="AN225" s="36"/>
      <c r="AO225" s="36"/>
      <c r="AP225" s="36"/>
      <c r="AQ225" s="36"/>
      <c r="AR225" s="36"/>
      <c r="AS225" s="36"/>
      <c r="AT225" s="36"/>
      <c r="AU225" s="36"/>
      <c r="AV225" s="36"/>
      <c r="AW225" s="36"/>
      <c r="AX225" s="36"/>
      <c r="AY225" s="36"/>
      <c r="AZ225" s="36"/>
      <c r="BA225" s="36"/>
      <c r="BB225" s="36"/>
      <c r="BC225" s="36"/>
      <c r="BD225" s="36"/>
      <c r="BE225" s="36"/>
    </row>
    <row r="226" spans="2:57" s="30" customFormat="1" ht="15" x14ac:dyDescent="0.2">
      <c r="B226" s="52" t="s">
        <v>461</v>
      </c>
      <c r="C226" s="471" t="s">
        <v>300</v>
      </c>
      <c r="D226" s="472"/>
      <c r="E226" s="472"/>
      <c r="F226" s="472"/>
      <c r="G226" s="473"/>
      <c r="H226" s="81"/>
      <c r="J226" s="32" t="s">
        <v>424</v>
      </c>
      <c r="K226" s="92" t="str">
        <f>IFERROR(IF(ISNUMBER(L226),L226,(VLOOKUP(C226,Kalusto!$C$5:$E$42,3,FALSE))*(VLOOKUP(C227,Muut!$D$40:$E$43,2,FALSE))),"--")</f>
        <v>--</v>
      </c>
      <c r="L226" s="39"/>
      <c r="M226" s="40" t="s">
        <v>189</v>
      </c>
      <c r="N226" s="40"/>
      <c r="O226" s="250"/>
      <c r="Q226" s="34"/>
      <c r="R226" s="48" t="str">
        <f>IF(ISNUMBER(K226*T226),K226*T226,"")</f>
        <v/>
      </c>
      <c r="S226" s="98" t="s">
        <v>160</v>
      </c>
      <c r="T226" s="48" t="str">
        <f>IF(ISNUMBER(C228),C228,"")</f>
        <v/>
      </c>
      <c r="U226" s="104"/>
      <c r="V226" s="59"/>
      <c r="W226" s="35"/>
      <c r="X226" s="35"/>
      <c r="Y226" s="35"/>
      <c r="Z226" s="35"/>
      <c r="AA226" s="35"/>
      <c r="AB226" s="35"/>
      <c r="AC226" s="35"/>
      <c r="AD226" s="35"/>
      <c r="AE226" s="35"/>
      <c r="AF226" s="35"/>
      <c r="AG226" s="35"/>
      <c r="AH226" s="35"/>
      <c r="AI226" s="35"/>
      <c r="AJ226" s="35"/>
      <c r="AK226" s="35"/>
      <c r="AL226" s="35"/>
      <c r="AM226" s="35"/>
      <c r="AN226" s="36"/>
      <c r="AO226" s="36"/>
      <c r="AP226" s="36"/>
      <c r="AQ226" s="36"/>
      <c r="AR226" s="36"/>
      <c r="AS226" s="36"/>
      <c r="AT226" s="36"/>
      <c r="AU226" s="36"/>
      <c r="AV226" s="36"/>
      <c r="AW226" s="36"/>
      <c r="AX226" s="36"/>
      <c r="AY226" s="36"/>
      <c r="AZ226" s="36"/>
      <c r="BA226" s="36"/>
      <c r="BB226" s="36"/>
      <c r="BC226" s="36"/>
      <c r="BD226" s="36"/>
      <c r="BE226" s="36"/>
    </row>
    <row r="227" spans="2:57" s="30" customFormat="1" ht="15" x14ac:dyDescent="0.2">
      <c r="B227" s="166" t="s">
        <v>460</v>
      </c>
      <c r="C227" s="156" t="s">
        <v>309</v>
      </c>
      <c r="D227" s="33"/>
      <c r="E227" s="33"/>
      <c r="F227" s="33"/>
      <c r="G227" s="33"/>
      <c r="H227" s="57"/>
      <c r="J227" s="169"/>
      <c r="K227" s="169"/>
      <c r="L227" s="169"/>
      <c r="M227" s="40"/>
      <c r="N227" s="40"/>
      <c r="O227" s="259"/>
      <c r="Q227" s="45"/>
      <c r="R227" s="59"/>
      <c r="S227" s="98"/>
      <c r="T227" s="35"/>
      <c r="U227" s="35"/>
      <c r="V227" s="177"/>
      <c r="W227" s="177"/>
      <c r="X227" s="59"/>
      <c r="Y227" s="35"/>
      <c r="Z227" s="59"/>
      <c r="AA227" s="178"/>
      <c r="AB227" s="59"/>
      <c r="AC227" s="59"/>
      <c r="AD227" s="59"/>
      <c r="AE227" s="59"/>
      <c r="AF227" s="178"/>
      <c r="AG227" s="59"/>
      <c r="AH227" s="35"/>
      <c r="AI227" s="35"/>
      <c r="AJ227" s="35"/>
      <c r="AK227" s="104"/>
      <c r="AL227" s="35"/>
      <c r="AM227" s="35"/>
      <c r="AN227" s="36"/>
      <c r="AO227" s="36"/>
      <c r="AP227" s="36"/>
      <c r="AQ227" s="36"/>
      <c r="AR227" s="36"/>
      <c r="AS227" s="36"/>
      <c r="AT227" s="36"/>
      <c r="AU227" s="36"/>
      <c r="AV227" s="36"/>
      <c r="AW227" s="36"/>
      <c r="AX227" s="36"/>
      <c r="AY227" s="36"/>
      <c r="AZ227" s="36"/>
      <c r="BA227" s="36"/>
      <c r="BB227" s="36"/>
      <c r="BC227" s="36"/>
      <c r="BD227" s="36"/>
      <c r="BE227" s="36"/>
    </row>
    <row r="228" spans="2:57" s="30" customFormat="1" ht="15" x14ac:dyDescent="0.2">
      <c r="B228" s="52" t="s">
        <v>427</v>
      </c>
      <c r="C228" s="189"/>
      <c r="D228" s="81" t="s">
        <v>51</v>
      </c>
      <c r="G228" s="33"/>
      <c r="H228" s="81"/>
      <c r="J228" s="32"/>
      <c r="K228" s="33"/>
      <c r="L228" s="33"/>
      <c r="M228" s="81"/>
      <c r="N228" s="81"/>
      <c r="O228" s="96"/>
      <c r="Q228" s="34"/>
      <c r="R228" s="35"/>
      <c r="S228" s="35"/>
      <c r="T228" s="35"/>
      <c r="U228" s="104"/>
      <c r="V228" s="35"/>
      <c r="W228" s="35"/>
      <c r="X228" s="35"/>
      <c r="Y228" s="35"/>
      <c r="Z228" s="35"/>
      <c r="AA228" s="35"/>
      <c r="AB228" s="35"/>
      <c r="AC228" s="35"/>
      <c r="AD228" s="35"/>
      <c r="AE228" s="35"/>
      <c r="AF228" s="35"/>
      <c r="AG228" s="35"/>
      <c r="AH228" s="35"/>
      <c r="AI228" s="35"/>
      <c r="AJ228" s="35"/>
      <c r="AK228" s="35"/>
      <c r="AL228" s="35"/>
      <c r="AM228" s="35"/>
      <c r="AN228" s="36"/>
      <c r="AO228" s="36"/>
      <c r="AP228" s="36"/>
      <c r="AQ228" s="36"/>
      <c r="AR228" s="36"/>
      <c r="AS228" s="36"/>
      <c r="AT228" s="36"/>
      <c r="AU228" s="36"/>
      <c r="AV228" s="36"/>
      <c r="AW228" s="36"/>
      <c r="AX228" s="36"/>
      <c r="AY228" s="36"/>
      <c r="AZ228" s="36"/>
      <c r="BA228" s="36"/>
      <c r="BB228" s="36"/>
      <c r="BC228" s="36"/>
      <c r="BD228" s="36"/>
      <c r="BE228" s="36"/>
    </row>
    <row r="229" spans="2:57" s="30" customFormat="1" ht="15" x14ac:dyDescent="0.2">
      <c r="B229" s="151" t="s">
        <v>442</v>
      </c>
      <c r="C229" s="33"/>
      <c r="D229" s="81"/>
      <c r="G229" s="33"/>
      <c r="H229" s="81"/>
      <c r="J229" s="32"/>
      <c r="K229" s="37" t="s">
        <v>297</v>
      </c>
      <c r="L229" s="37" t="s">
        <v>185</v>
      </c>
      <c r="M229" s="81"/>
      <c r="N229" s="81"/>
      <c r="O229" s="96"/>
      <c r="Q229" s="34"/>
      <c r="R229" s="35" t="s">
        <v>318</v>
      </c>
      <c r="S229" s="35"/>
      <c r="T229" s="35" t="s">
        <v>246</v>
      </c>
      <c r="U229" s="104"/>
      <c r="V229" s="35"/>
      <c r="W229" s="35"/>
      <c r="X229" s="35"/>
      <c r="Y229" s="35"/>
      <c r="Z229" s="35"/>
      <c r="AA229" s="35"/>
      <c r="AB229" s="35"/>
      <c r="AC229" s="35"/>
      <c r="AD229" s="35"/>
      <c r="AE229" s="35"/>
      <c r="AF229" s="35"/>
      <c r="AG229" s="35"/>
      <c r="AH229" s="35"/>
      <c r="AI229" s="35"/>
      <c r="AJ229" s="35"/>
      <c r="AK229" s="35"/>
      <c r="AL229" s="35"/>
      <c r="AM229" s="35"/>
      <c r="AN229" s="36"/>
      <c r="AO229" s="36"/>
      <c r="AP229" s="36"/>
      <c r="AQ229" s="36"/>
      <c r="AR229" s="36"/>
      <c r="AS229" s="36"/>
      <c r="AT229" s="36"/>
      <c r="AU229" s="36"/>
      <c r="AV229" s="36"/>
      <c r="AW229" s="36"/>
      <c r="AX229" s="36"/>
      <c r="AY229" s="36"/>
      <c r="AZ229" s="36"/>
      <c r="BA229" s="36"/>
      <c r="BB229" s="36"/>
      <c r="BC229" s="36"/>
      <c r="BD229" s="36"/>
      <c r="BE229" s="36"/>
    </row>
    <row r="230" spans="2:57" s="30" customFormat="1" ht="15" x14ac:dyDescent="0.2">
      <c r="B230" s="52" t="s">
        <v>461</v>
      </c>
      <c r="C230" s="471" t="s">
        <v>300</v>
      </c>
      <c r="D230" s="472"/>
      <c r="E230" s="472"/>
      <c r="F230" s="472"/>
      <c r="G230" s="473"/>
      <c r="H230" s="81"/>
      <c r="J230" s="32" t="s">
        <v>424</v>
      </c>
      <c r="K230" s="92" t="str">
        <f>IFERROR(IF(ISNUMBER(L230),L230,(VLOOKUP(C230,Kalusto!$C$5:$E$42,3,FALSE))*(VLOOKUP(C231,Muut!$D$40:$E$43,2,FALSE))),"--")</f>
        <v>--</v>
      </c>
      <c r="L230" s="39"/>
      <c r="M230" s="40" t="s">
        <v>189</v>
      </c>
      <c r="N230" s="40"/>
      <c r="O230" s="259"/>
      <c r="Q230" s="34"/>
      <c r="R230" s="48" t="str">
        <f>IF(ISNUMBER(K230*T230),K230*T230,"")</f>
        <v/>
      </c>
      <c r="S230" s="98" t="s">
        <v>160</v>
      </c>
      <c r="T230" s="48" t="str">
        <f>IF(ISNUMBER(C232),C232,"")</f>
        <v/>
      </c>
      <c r="U230" s="104"/>
      <c r="V230" s="59"/>
      <c r="W230" s="35"/>
      <c r="X230" s="35"/>
      <c r="Y230" s="35"/>
      <c r="Z230" s="35"/>
      <c r="AA230" s="35"/>
      <c r="AB230" s="35"/>
      <c r="AC230" s="35"/>
      <c r="AD230" s="35"/>
      <c r="AE230" s="35"/>
      <c r="AF230" s="35"/>
      <c r="AG230" s="35"/>
      <c r="AH230" s="35"/>
      <c r="AI230" s="35"/>
      <c r="AJ230" s="35"/>
      <c r="AK230" s="35"/>
      <c r="AL230" s="35"/>
      <c r="AM230" s="35"/>
      <c r="AN230" s="36"/>
      <c r="AO230" s="36"/>
      <c r="AP230" s="36"/>
      <c r="AQ230" s="36"/>
      <c r="AR230" s="36"/>
      <c r="AS230" s="36"/>
      <c r="AT230" s="36"/>
      <c r="AU230" s="36"/>
      <c r="AV230" s="36"/>
      <c r="AW230" s="36"/>
      <c r="AX230" s="36"/>
      <c r="AY230" s="36"/>
      <c r="AZ230" s="36"/>
      <c r="BA230" s="36"/>
      <c r="BB230" s="36"/>
      <c r="BC230" s="36"/>
      <c r="BD230" s="36"/>
      <c r="BE230" s="36"/>
    </row>
    <row r="231" spans="2:57" s="30" customFormat="1" ht="15" x14ac:dyDescent="0.2">
      <c r="B231" s="166" t="s">
        <v>460</v>
      </c>
      <c r="C231" s="156" t="s">
        <v>309</v>
      </c>
      <c r="D231" s="33"/>
      <c r="E231" s="33"/>
      <c r="F231" s="33"/>
      <c r="G231" s="33"/>
      <c r="H231" s="57"/>
      <c r="J231" s="169"/>
      <c r="K231" s="169"/>
      <c r="L231" s="169"/>
      <c r="M231" s="40"/>
      <c r="N231" s="40"/>
      <c r="O231" s="259"/>
      <c r="Q231" s="45"/>
      <c r="R231" s="59"/>
      <c r="S231" s="98"/>
      <c r="T231" s="35"/>
      <c r="U231" s="35"/>
      <c r="V231" s="177"/>
      <c r="W231" s="177"/>
      <c r="X231" s="59"/>
      <c r="Y231" s="35"/>
      <c r="Z231" s="59"/>
      <c r="AA231" s="178"/>
      <c r="AB231" s="59"/>
      <c r="AC231" s="59"/>
      <c r="AD231" s="59"/>
      <c r="AE231" s="59"/>
      <c r="AF231" s="178"/>
      <c r="AG231" s="59"/>
      <c r="AH231" s="35"/>
      <c r="AI231" s="35"/>
      <c r="AJ231" s="35"/>
      <c r="AK231" s="104"/>
      <c r="AL231" s="35"/>
      <c r="AM231" s="35"/>
      <c r="AN231" s="36"/>
      <c r="AO231" s="36"/>
      <c r="AP231" s="36"/>
      <c r="AQ231" s="36"/>
      <c r="AR231" s="36"/>
      <c r="AS231" s="36"/>
      <c r="AT231" s="36"/>
      <c r="AU231" s="36"/>
      <c r="AV231" s="36"/>
      <c r="AW231" s="36"/>
      <c r="AX231" s="36"/>
      <c r="AY231" s="36"/>
      <c r="AZ231" s="36"/>
      <c r="BA231" s="36"/>
      <c r="BB231" s="36"/>
      <c r="BC231" s="36"/>
      <c r="BD231" s="36"/>
      <c r="BE231" s="36"/>
    </row>
    <row r="232" spans="2:57" s="30" customFormat="1" ht="15" x14ac:dyDescent="0.2">
      <c r="B232" s="52" t="s">
        <v>427</v>
      </c>
      <c r="C232" s="189"/>
      <c r="D232" s="81" t="s">
        <v>51</v>
      </c>
      <c r="G232" s="33"/>
      <c r="H232" s="81"/>
      <c r="J232" s="32"/>
      <c r="K232" s="33"/>
      <c r="L232" s="33"/>
      <c r="M232" s="81"/>
      <c r="N232" s="81"/>
      <c r="O232" s="96"/>
      <c r="Q232" s="34"/>
      <c r="R232" s="35"/>
      <c r="S232" s="35"/>
      <c r="T232" s="35"/>
      <c r="U232" s="104"/>
      <c r="V232" s="35"/>
      <c r="W232" s="35"/>
      <c r="X232" s="35"/>
      <c r="Y232" s="35"/>
      <c r="Z232" s="35"/>
      <c r="AA232" s="35"/>
      <c r="AB232" s="35"/>
      <c r="AC232" s="35"/>
      <c r="AD232" s="35"/>
      <c r="AE232" s="35"/>
      <c r="AF232" s="35"/>
      <c r="AG232" s="35"/>
      <c r="AH232" s="35"/>
      <c r="AI232" s="35"/>
      <c r="AJ232" s="35"/>
      <c r="AK232" s="35"/>
      <c r="AL232" s="35"/>
      <c r="AM232" s="35"/>
      <c r="AN232" s="36"/>
      <c r="AO232" s="36"/>
      <c r="AP232" s="36"/>
      <c r="AQ232" s="36"/>
      <c r="AR232" s="36"/>
      <c r="AS232" s="36"/>
      <c r="AT232" s="36"/>
      <c r="AU232" s="36"/>
      <c r="AV232" s="36"/>
      <c r="AW232" s="36"/>
      <c r="AX232" s="36"/>
      <c r="AY232" s="36"/>
      <c r="AZ232" s="36"/>
      <c r="BA232" s="36"/>
      <c r="BB232" s="36"/>
      <c r="BC232" s="36"/>
      <c r="BD232" s="36"/>
      <c r="BE232" s="36"/>
    </row>
    <row r="233" spans="2:57" s="30" customFormat="1" ht="15" x14ac:dyDescent="0.2">
      <c r="B233" s="151" t="s">
        <v>443</v>
      </c>
      <c r="C233" s="33"/>
      <c r="D233" s="81"/>
      <c r="G233" s="33"/>
      <c r="H233" s="81"/>
      <c r="J233" s="32"/>
      <c r="K233" s="37" t="s">
        <v>297</v>
      </c>
      <c r="L233" s="37" t="s">
        <v>185</v>
      </c>
      <c r="M233" s="81"/>
      <c r="N233" s="81"/>
      <c r="O233" s="96"/>
      <c r="Q233" s="34"/>
      <c r="R233" s="35" t="s">
        <v>318</v>
      </c>
      <c r="S233" s="35"/>
      <c r="T233" s="35" t="s">
        <v>246</v>
      </c>
      <c r="U233" s="104"/>
      <c r="V233" s="35"/>
      <c r="W233" s="35"/>
      <c r="X233" s="35"/>
      <c r="Y233" s="35"/>
      <c r="Z233" s="35"/>
      <c r="AA233" s="35"/>
      <c r="AB233" s="35"/>
      <c r="AC233" s="35"/>
      <c r="AD233" s="35"/>
      <c r="AE233" s="35"/>
      <c r="AF233" s="35"/>
      <c r="AG233" s="35"/>
      <c r="AH233" s="35"/>
      <c r="AI233" s="35"/>
      <c r="AJ233" s="35"/>
      <c r="AK233" s="35"/>
      <c r="AL233" s="35"/>
      <c r="AM233" s="35"/>
      <c r="AN233" s="36"/>
      <c r="AO233" s="36"/>
      <c r="AP233" s="36"/>
      <c r="AQ233" s="36"/>
      <c r="AR233" s="36"/>
      <c r="AS233" s="36"/>
      <c r="AT233" s="36"/>
      <c r="AU233" s="36"/>
      <c r="AV233" s="36"/>
      <c r="AW233" s="36"/>
      <c r="AX233" s="36"/>
      <c r="AY233" s="36"/>
      <c r="AZ233" s="36"/>
      <c r="BA233" s="36"/>
      <c r="BB233" s="36"/>
      <c r="BC233" s="36"/>
      <c r="BD233" s="36"/>
      <c r="BE233" s="36"/>
    </row>
    <row r="234" spans="2:57" s="30" customFormat="1" ht="15" x14ac:dyDescent="0.2">
      <c r="B234" s="52" t="s">
        <v>461</v>
      </c>
      <c r="C234" s="471" t="s">
        <v>300</v>
      </c>
      <c r="D234" s="472"/>
      <c r="E234" s="472"/>
      <c r="F234" s="472"/>
      <c r="G234" s="473"/>
      <c r="H234" s="81"/>
      <c r="J234" s="32" t="s">
        <v>424</v>
      </c>
      <c r="K234" s="92" t="str">
        <f>IFERROR(IF(ISNUMBER(L234),L234,(VLOOKUP(C234,Kalusto!$C$5:$E$42,3,FALSE))*(VLOOKUP(C235,Muut!$D$40:$E$43,2,FALSE))),"--")</f>
        <v>--</v>
      </c>
      <c r="L234" s="39"/>
      <c r="M234" s="40" t="s">
        <v>189</v>
      </c>
      <c r="N234" s="40"/>
      <c r="O234" s="259"/>
      <c r="Q234" s="34"/>
      <c r="R234" s="48" t="str">
        <f>IF(ISNUMBER(K234*T234),K234*T234,"")</f>
        <v/>
      </c>
      <c r="S234" s="98" t="s">
        <v>160</v>
      </c>
      <c r="T234" s="48" t="str">
        <f>IF(ISNUMBER(C236),C236,"")</f>
        <v/>
      </c>
      <c r="U234" s="104"/>
      <c r="V234" s="59"/>
      <c r="W234" s="35"/>
      <c r="X234" s="35"/>
      <c r="Y234" s="35"/>
      <c r="Z234" s="35"/>
      <c r="AA234" s="35"/>
      <c r="AB234" s="35"/>
      <c r="AC234" s="35"/>
      <c r="AD234" s="35"/>
      <c r="AE234" s="35"/>
      <c r="AF234" s="35"/>
      <c r="AG234" s="35"/>
      <c r="AH234" s="35"/>
      <c r="AI234" s="35"/>
      <c r="AJ234" s="35"/>
      <c r="AK234" s="35"/>
      <c r="AL234" s="35"/>
      <c r="AM234" s="35"/>
      <c r="AN234" s="36"/>
      <c r="AO234" s="36"/>
      <c r="AP234" s="36"/>
      <c r="AQ234" s="36"/>
      <c r="AR234" s="36"/>
      <c r="AS234" s="36"/>
      <c r="AT234" s="36"/>
      <c r="AU234" s="36"/>
      <c r="AV234" s="36"/>
      <c r="AW234" s="36"/>
      <c r="AX234" s="36"/>
      <c r="AY234" s="36"/>
      <c r="AZ234" s="36"/>
      <c r="BA234" s="36"/>
      <c r="BB234" s="36"/>
      <c r="BC234" s="36"/>
      <c r="BD234" s="36"/>
      <c r="BE234" s="36"/>
    </row>
    <row r="235" spans="2:57" s="30" customFormat="1" ht="15" x14ac:dyDescent="0.2">
      <c r="B235" s="166" t="s">
        <v>460</v>
      </c>
      <c r="C235" s="156" t="s">
        <v>309</v>
      </c>
      <c r="D235" s="33"/>
      <c r="E235" s="33"/>
      <c r="F235" s="33"/>
      <c r="G235" s="33"/>
      <c r="H235" s="57"/>
      <c r="J235" s="169"/>
      <c r="K235" s="169"/>
      <c r="L235" s="169"/>
      <c r="M235" s="40"/>
      <c r="N235" s="40"/>
      <c r="O235" s="259"/>
      <c r="Q235" s="45"/>
      <c r="R235" s="59"/>
      <c r="S235" s="98"/>
      <c r="T235" s="35"/>
      <c r="U235" s="35"/>
      <c r="V235" s="177"/>
      <c r="W235" s="177"/>
      <c r="X235" s="59"/>
      <c r="Y235" s="35"/>
      <c r="Z235" s="59"/>
      <c r="AA235" s="178"/>
      <c r="AB235" s="59"/>
      <c r="AC235" s="59"/>
      <c r="AD235" s="59"/>
      <c r="AE235" s="59"/>
      <c r="AF235" s="178"/>
      <c r="AG235" s="59"/>
      <c r="AH235" s="35"/>
      <c r="AI235" s="35"/>
      <c r="AJ235" s="35"/>
      <c r="AK235" s="104"/>
      <c r="AL235" s="35"/>
      <c r="AM235" s="35"/>
      <c r="AN235" s="36"/>
      <c r="AO235" s="36"/>
      <c r="AP235" s="36"/>
      <c r="AQ235" s="36"/>
      <c r="AR235" s="36"/>
      <c r="AS235" s="36"/>
      <c r="AT235" s="36"/>
      <c r="AU235" s="36"/>
      <c r="AV235" s="36"/>
      <c r="AW235" s="36"/>
      <c r="AX235" s="36"/>
      <c r="AY235" s="36"/>
      <c r="AZ235" s="36"/>
      <c r="BA235" s="36"/>
      <c r="BB235" s="36"/>
      <c r="BC235" s="36"/>
      <c r="BD235" s="36"/>
      <c r="BE235" s="36"/>
    </row>
    <row r="236" spans="2:57" s="30" customFormat="1" ht="15" x14ac:dyDescent="0.2">
      <c r="B236" s="52" t="s">
        <v>427</v>
      </c>
      <c r="C236" s="189"/>
      <c r="D236" s="81" t="s">
        <v>51</v>
      </c>
      <c r="G236" s="33"/>
      <c r="H236" s="81"/>
      <c r="J236" s="32"/>
      <c r="K236" s="33"/>
      <c r="L236" s="33"/>
      <c r="M236" s="81"/>
      <c r="N236" s="81"/>
      <c r="O236" s="96"/>
      <c r="Q236" s="34"/>
      <c r="R236" s="95"/>
      <c r="S236" s="35"/>
      <c r="T236" s="35"/>
      <c r="U236" s="35"/>
      <c r="V236" s="35"/>
      <c r="W236" s="35"/>
      <c r="X236" s="35"/>
      <c r="Y236" s="35"/>
      <c r="Z236" s="35"/>
      <c r="AA236" s="35"/>
      <c r="AB236" s="35"/>
      <c r="AC236" s="35"/>
      <c r="AD236" s="35"/>
      <c r="AE236" s="35"/>
      <c r="AF236" s="35"/>
      <c r="AG236" s="35"/>
      <c r="AH236" s="35"/>
      <c r="AI236" s="35"/>
      <c r="AJ236" s="35"/>
      <c r="AK236" s="35"/>
      <c r="AL236" s="35"/>
      <c r="AM236" s="35"/>
      <c r="AN236" s="36"/>
      <c r="AO236" s="36"/>
      <c r="AP236" s="36"/>
      <c r="AQ236" s="36"/>
      <c r="AR236" s="36"/>
      <c r="AS236" s="36"/>
      <c r="AT236" s="36"/>
      <c r="AU236" s="36"/>
      <c r="AV236" s="36"/>
      <c r="AW236" s="36"/>
      <c r="AX236" s="36"/>
      <c r="AY236" s="36"/>
      <c r="AZ236" s="36"/>
      <c r="BA236" s="36"/>
      <c r="BB236" s="36"/>
      <c r="BC236" s="36"/>
      <c r="BD236" s="36"/>
      <c r="BE236" s="36"/>
    </row>
    <row r="237" spans="2:57" s="30" customFormat="1" ht="15" x14ac:dyDescent="0.2">
      <c r="C237" s="33"/>
      <c r="D237" s="81"/>
      <c r="G237" s="33"/>
      <c r="H237" s="81"/>
      <c r="K237" s="33"/>
      <c r="L237" s="33"/>
      <c r="M237" s="81"/>
      <c r="N237" s="81"/>
      <c r="O237" s="81"/>
      <c r="Q237" s="34"/>
      <c r="R237" s="95"/>
      <c r="S237" s="35"/>
      <c r="T237" s="35"/>
      <c r="U237" s="35"/>
      <c r="V237" s="35"/>
      <c r="W237" s="35"/>
      <c r="X237" s="35"/>
      <c r="Y237" s="35"/>
      <c r="Z237" s="35"/>
      <c r="AA237" s="35"/>
      <c r="AB237" s="35"/>
      <c r="AC237" s="35"/>
      <c r="AD237" s="35"/>
      <c r="AE237" s="35"/>
      <c r="AF237" s="35"/>
      <c r="AG237" s="35"/>
      <c r="AH237" s="35"/>
      <c r="AI237" s="35"/>
      <c r="AJ237" s="35"/>
      <c r="AK237" s="35"/>
      <c r="AL237" s="35"/>
      <c r="AM237" s="35"/>
      <c r="AN237" s="36"/>
      <c r="AO237" s="36"/>
      <c r="AP237" s="36"/>
      <c r="AQ237" s="36"/>
      <c r="AR237" s="36"/>
      <c r="AS237" s="36"/>
      <c r="AT237" s="36"/>
      <c r="AU237" s="36"/>
      <c r="AV237" s="36"/>
      <c r="AW237" s="36"/>
      <c r="AX237" s="36"/>
      <c r="AY237" s="36"/>
      <c r="AZ237" s="36"/>
      <c r="BA237" s="36"/>
      <c r="BB237" s="36"/>
      <c r="BC237" s="36"/>
      <c r="BD237" s="36"/>
      <c r="BE237" s="36"/>
    </row>
    <row r="238" spans="2:57" s="289" customFormat="1" ht="18" x14ac:dyDescent="0.2">
      <c r="B238" s="286" t="s">
        <v>676</v>
      </c>
      <c r="C238" s="287"/>
      <c r="D238" s="288"/>
      <c r="G238" s="287"/>
      <c r="H238" s="288"/>
      <c r="K238" s="287"/>
      <c r="L238" s="287"/>
      <c r="M238" s="288"/>
      <c r="N238" s="288"/>
      <c r="O238" s="291"/>
      <c r="P238" s="311"/>
      <c r="Q238" s="295"/>
      <c r="R238" s="289" t="str">
        <f>IF(OR(ISNUMBER(#REF!),ISNUMBER(#REF!),ISNUMBER(#REF!),ISNUMBER(#REF!),ISNUMBER(#REF!)),SUM(#REF!,#REF!,#REF!,#REF!,#REF!),"")</f>
        <v/>
      </c>
      <c r="S238" s="294"/>
      <c r="T238" s="294"/>
      <c r="U238" s="294"/>
      <c r="V238" s="294"/>
      <c r="W238" s="294"/>
      <c r="X238" s="294"/>
      <c r="Y238" s="294"/>
      <c r="Z238" s="294"/>
      <c r="AA238" s="294"/>
      <c r="AB238" s="294"/>
      <c r="AC238" s="294"/>
      <c r="AD238" s="294"/>
      <c r="AE238" s="294"/>
      <c r="AF238" s="294"/>
      <c r="AG238" s="294"/>
      <c r="AH238" s="294"/>
      <c r="AI238" s="294"/>
      <c r="AJ238" s="294"/>
      <c r="AK238" s="294"/>
      <c r="AL238" s="294"/>
      <c r="AM238" s="294"/>
      <c r="AN238" s="295"/>
      <c r="AO238" s="295"/>
      <c r="AP238" s="295"/>
      <c r="AQ238" s="295"/>
      <c r="AR238" s="295"/>
      <c r="AS238" s="295"/>
      <c r="AT238" s="295"/>
      <c r="AU238" s="295"/>
      <c r="AV238" s="295"/>
      <c r="AW238" s="295"/>
      <c r="AX238" s="295"/>
      <c r="AY238" s="295"/>
      <c r="AZ238" s="295"/>
      <c r="BA238" s="295"/>
      <c r="BB238" s="295"/>
      <c r="BC238" s="295"/>
      <c r="BD238" s="295"/>
      <c r="BE238" s="295"/>
    </row>
    <row r="239" spans="2:57" s="30" customFormat="1" ht="15.75" x14ac:dyDescent="0.2">
      <c r="B239" s="8"/>
      <c r="C239" s="33"/>
      <c r="D239" s="81"/>
      <c r="E239" s="33"/>
      <c r="F239" s="33"/>
      <c r="G239" s="37"/>
      <c r="H239" s="81"/>
      <c r="J239" s="32"/>
      <c r="K239" s="37"/>
      <c r="L239" s="37"/>
      <c r="M239" s="83"/>
      <c r="N239" s="83"/>
      <c r="O239" s="83"/>
      <c r="P239" s="37"/>
      <c r="Q239" s="34"/>
      <c r="R239" s="95"/>
      <c r="S239" s="35"/>
      <c r="T239" s="35"/>
      <c r="U239" s="35"/>
      <c r="V239" s="35"/>
      <c r="W239" s="35"/>
      <c r="X239" s="35"/>
      <c r="Y239" s="35"/>
      <c r="Z239" s="35"/>
      <c r="AA239" s="35"/>
      <c r="AB239" s="35"/>
      <c r="AC239" s="35"/>
      <c r="AD239" s="35"/>
      <c r="AE239" s="35"/>
      <c r="AF239" s="35"/>
      <c r="AG239" s="35"/>
      <c r="AH239" s="35"/>
      <c r="AI239" s="35"/>
      <c r="AJ239" s="35"/>
      <c r="AK239" s="35"/>
      <c r="AL239" s="35"/>
      <c r="AM239" s="35"/>
      <c r="AN239" s="36"/>
      <c r="AO239" s="36"/>
      <c r="AP239" s="36"/>
      <c r="AQ239" s="36"/>
      <c r="AR239" s="36"/>
      <c r="AS239" s="36"/>
      <c r="AT239" s="36"/>
      <c r="AU239" s="36"/>
      <c r="AV239" s="36"/>
      <c r="AW239" s="36"/>
      <c r="AX239" s="36"/>
      <c r="AY239" s="36"/>
      <c r="AZ239" s="36"/>
      <c r="BA239" s="36"/>
      <c r="BB239" s="36"/>
      <c r="BC239" s="36"/>
      <c r="BD239" s="36"/>
      <c r="BE239" s="36"/>
    </row>
    <row r="240" spans="2:57" s="30" customFormat="1" ht="15" x14ac:dyDescent="0.2">
      <c r="B240" s="151" t="s">
        <v>0</v>
      </c>
      <c r="C240" s="33" t="s">
        <v>50</v>
      </c>
      <c r="D240" s="81"/>
      <c r="E240" s="33"/>
      <c r="F240" s="33"/>
      <c r="G240" s="37" t="s">
        <v>183</v>
      </c>
      <c r="H240" s="81"/>
      <c r="J240" s="32"/>
      <c r="K240" s="37" t="s">
        <v>297</v>
      </c>
      <c r="L240" s="37" t="s">
        <v>185</v>
      </c>
      <c r="M240" s="83"/>
      <c r="N240" s="83"/>
      <c r="O240" s="249" t="s">
        <v>584</v>
      </c>
      <c r="P240" s="37"/>
      <c r="Q240" s="34"/>
      <c r="R240" s="35" t="s">
        <v>318</v>
      </c>
      <c r="S240" s="35"/>
      <c r="T240" s="35" t="s">
        <v>400</v>
      </c>
      <c r="U240" s="35" t="s">
        <v>399</v>
      </c>
      <c r="V240" s="35" t="s">
        <v>397</v>
      </c>
      <c r="W240" s="35" t="s">
        <v>398</v>
      </c>
      <c r="X240" s="35" t="s">
        <v>401</v>
      </c>
      <c r="Y240" s="35" t="s">
        <v>403</v>
      </c>
      <c r="Z240" s="35" t="s">
        <v>402</v>
      </c>
      <c r="AA240" s="35" t="s">
        <v>186</v>
      </c>
      <c r="AB240" s="35" t="s">
        <v>345</v>
      </c>
      <c r="AC240" s="35" t="s">
        <v>404</v>
      </c>
      <c r="AD240" s="35" t="s">
        <v>346</v>
      </c>
      <c r="AE240" s="35" t="s">
        <v>405</v>
      </c>
      <c r="AF240" s="35" t="s">
        <v>406</v>
      </c>
      <c r="AG240" s="35" t="s">
        <v>578</v>
      </c>
      <c r="AH240" s="35" t="s">
        <v>190</v>
      </c>
      <c r="AI240" s="35" t="s">
        <v>249</v>
      </c>
      <c r="AJ240" s="35" t="s">
        <v>191</v>
      </c>
      <c r="AK240" s="104"/>
      <c r="AL240" s="35"/>
      <c r="AM240" s="35"/>
      <c r="AN240" s="36"/>
      <c r="AO240" s="36"/>
      <c r="AP240" s="36"/>
      <c r="AQ240" s="36"/>
      <c r="AR240" s="36"/>
      <c r="AS240" s="36"/>
      <c r="AT240" s="36"/>
      <c r="AU240" s="36"/>
      <c r="AV240" s="36"/>
      <c r="AW240" s="36"/>
      <c r="AX240" s="36"/>
      <c r="AY240" s="36"/>
      <c r="AZ240" s="36"/>
      <c r="BA240" s="36"/>
      <c r="BB240" s="36"/>
      <c r="BC240" s="36"/>
      <c r="BD240" s="36"/>
      <c r="BE240" s="36"/>
    </row>
    <row r="241" spans="2:57" s="30" customFormat="1" ht="30" x14ac:dyDescent="0.2">
      <c r="B241" s="166" t="s">
        <v>501</v>
      </c>
      <c r="C241" s="152"/>
      <c r="D241" s="86" t="s">
        <v>52</v>
      </c>
      <c r="E241" s="57"/>
      <c r="F241" s="55"/>
      <c r="G241" s="157"/>
      <c r="H241" s="81" t="str">
        <f>IF(D241="t","","t/m3")</f>
        <v/>
      </c>
      <c r="J241" s="169" t="s">
        <v>395</v>
      </c>
      <c r="K241" s="92" t="str">
        <f>IFERROR(IF(ISNUMBER(L241),L241,(VLOOKUP(C242,Kalusto!$C$45:$G$84,5,FALSE)*VLOOKUP(C243,Muut!$D$40:$E$43,2,FALSE))),"--")</f>
        <v>--</v>
      </c>
      <c r="L241" s="39"/>
      <c r="M241" s="40" t="s">
        <v>184</v>
      </c>
      <c r="N241" s="40"/>
      <c r="O241" s="250"/>
      <c r="Q241" s="45"/>
      <c r="R241" s="48" t="str">
        <f>IF(AND(NOT(ISNUMBER(AB241)),NOT(ISNUMBER(AG241))),"",IF(ISNUMBER(AB241),AB241,0)+IF(ISNUMBER(AG241),AG241,0))</f>
        <v/>
      </c>
      <c r="S241" s="98" t="s">
        <v>160</v>
      </c>
      <c r="T241" s="46" t="str">
        <f>IFERROR(IF(ISNUMBER(L241),"Kohdetieto",VLOOKUP(C242,Kalusto!$C$45:$L$84,7,FALSE)),"--")</f>
        <v>--</v>
      </c>
      <c r="U241" s="46" t="str">
        <f>IFERROR(IF(ISNUMBER(L241),"Kohdetieto",VLOOKUP(C242,Kalusto!$C$45:$L$84,8,FALSE)),"--")</f>
        <v>--</v>
      </c>
      <c r="V241" s="47" t="str">
        <f>IFERROR(IF(ISNUMBER(L241),"Kohdetieto",VLOOKUP(C242,Kalusto!$C$45:$L$84,9,FALSE)),"--")</f>
        <v>--</v>
      </c>
      <c r="W241" s="47" t="str">
        <f>IFERROR(IF(ISNUMBER(L241),"Kohdetieto",VLOOKUP(C242,Kalusto!$C$45:$L$84,10,FALSE)),"--")</f>
        <v>--</v>
      </c>
      <c r="X241" s="48" t="str">
        <f>IF(ISBLANK(C241),"",IF(D241="t",C241,C241*G241))</f>
        <v/>
      </c>
      <c r="Y241" s="46" t="str">
        <f>IF(ISNUMBER(C244),C244,"")</f>
        <v/>
      </c>
      <c r="Z241" s="48" t="str">
        <f>IF(ISNUMBER(X241/(U241*V241)*Y241),X241/(U241*V241)*Y241,"")</f>
        <v/>
      </c>
      <c r="AA241" s="49" t="str">
        <f>IF(ISNUMBER(L241),L241,K241)</f>
        <v>--</v>
      </c>
      <c r="AB241" s="48" t="str">
        <f>IF(ISNUMBER(Y241*X241*K241),Y241*X241*K241,"")</f>
        <v/>
      </c>
      <c r="AC241" s="48" t="str">
        <f>IF(ISNUMBER(Y241),Y241,"")</f>
        <v/>
      </c>
      <c r="AD241" s="48" t="str">
        <f>IF(ISNUMBER(X241),IF(ISNUMBER(X241/(U241*V241)),CEILING(X241/(U241*V241),1),""),"")</f>
        <v/>
      </c>
      <c r="AE241" s="48" t="str">
        <f>IF(ISNUMBER(AD241*AC241),AD241*AC241,"")</f>
        <v/>
      </c>
      <c r="AF241" s="49" t="str">
        <f>IF(ISNUMBER(L242),L242,K242)</f>
        <v>--</v>
      </c>
      <c r="AG241" s="48" t="str">
        <f>IF(ISNUMBER(AC241*AD241*K242),AC241*AD241*K242,"")</f>
        <v/>
      </c>
      <c r="AH241" s="46">
        <f>IF(T241="Jakelukuorma-auto",0,IF(T241="Maansiirtoauto",4,IF(T241="Puoliperävaunu",6,8)))</f>
        <v>8</v>
      </c>
      <c r="AI241" s="46">
        <f>IF(AND(T241="Jakelukuorma-auto",U241=6),0,IF(AND(T241="Jakelukuorma-auto",U241=15),2,0))</f>
        <v>0</v>
      </c>
      <c r="AJ241" s="46">
        <f>IF(W241="maantieajo",0,1)</f>
        <v>1</v>
      </c>
      <c r="AK241" s="104"/>
      <c r="AL241" s="35"/>
      <c r="AM241" s="35"/>
      <c r="AN241" s="36"/>
      <c r="AO241" s="36"/>
      <c r="AP241" s="36"/>
      <c r="AQ241" s="36"/>
      <c r="AR241" s="36"/>
      <c r="AS241" s="36"/>
      <c r="AT241" s="36"/>
      <c r="AU241" s="36"/>
      <c r="AV241" s="36"/>
      <c r="AW241" s="36"/>
      <c r="AX241" s="36"/>
      <c r="AY241" s="36"/>
      <c r="AZ241" s="36"/>
      <c r="BA241" s="36"/>
      <c r="BB241" s="36"/>
      <c r="BC241" s="36"/>
      <c r="BD241" s="36"/>
      <c r="BE241" s="36"/>
    </row>
    <row r="242" spans="2:57" s="30" customFormat="1" ht="30" x14ac:dyDescent="0.2">
      <c r="B242" s="166" t="s">
        <v>499</v>
      </c>
      <c r="C242" s="471" t="s">
        <v>298</v>
      </c>
      <c r="D242" s="472"/>
      <c r="E242" s="472"/>
      <c r="F242" s="472"/>
      <c r="G242" s="473"/>
      <c r="J242" s="32" t="s">
        <v>396</v>
      </c>
      <c r="K242" s="92" t="str">
        <f>IFERROR(IF(ISNUMBER(L242),L242,(VLOOKUP(C242,Kalusto!$C$45:$V$84,19,FALSE)*(VLOOKUP(C243,Muut!$D$40:$E$43,2,FALSE)))),"--")</f>
        <v>--</v>
      </c>
      <c r="L242" s="39"/>
      <c r="M242" s="40" t="s">
        <v>188</v>
      </c>
      <c r="N242" s="40"/>
      <c r="O242" s="259"/>
      <c r="P242" s="33"/>
      <c r="Q242" s="50"/>
      <c r="R242" s="35"/>
      <c r="S242" s="35"/>
      <c r="T242" s="35"/>
      <c r="U242" s="35"/>
      <c r="V242" s="35"/>
      <c r="W242" s="35"/>
      <c r="X242" s="35"/>
      <c r="Y242" s="35"/>
      <c r="Z242" s="35"/>
      <c r="AA242" s="35"/>
      <c r="AB242" s="35"/>
      <c r="AC242" s="35"/>
      <c r="AD242" s="35"/>
      <c r="AE242" s="35"/>
      <c r="AF242" s="35"/>
      <c r="AG242" s="35"/>
      <c r="AH242" s="35"/>
      <c r="AI242" s="35"/>
      <c r="AJ242" s="35"/>
      <c r="AK242" s="104"/>
      <c r="AL242" s="35"/>
      <c r="AM242" s="35"/>
      <c r="AN242" s="36"/>
      <c r="AO242" s="36"/>
      <c r="AP242" s="36"/>
      <c r="AQ242" s="36"/>
      <c r="AR242" s="36"/>
      <c r="AS242" s="36"/>
      <c r="AT242" s="36"/>
      <c r="AU242" s="36"/>
      <c r="AV242" s="36"/>
      <c r="AW242" s="36"/>
      <c r="AX242" s="36"/>
      <c r="AY242" s="36"/>
      <c r="AZ242" s="36"/>
      <c r="BA242" s="36"/>
      <c r="BB242" s="36"/>
      <c r="BC242" s="36"/>
      <c r="BD242" s="36"/>
      <c r="BE242" s="36"/>
    </row>
    <row r="243" spans="2:57" s="30" customFormat="1" ht="15" x14ac:dyDescent="0.2">
      <c r="B243" s="182" t="s">
        <v>457</v>
      </c>
      <c r="C243" s="156" t="s">
        <v>309</v>
      </c>
      <c r="D243" s="33"/>
      <c r="E243" s="33"/>
      <c r="F243" s="33"/>
      <c r="G243" s="33"/>
      <c r="H243" s="57"/>
      <c r="J243" s="169"/>
      <c r="K243" s="169"/>
      <c r="L243" s="169"/>
      <c r="M243" s="40"/>
      <c r="N243" s="40"/>
      <c r="O243" s="259"/>
      <c r="Q243" s="45"/>
      <c r="R243" s="98"/>
      <c r="S243" s="98"/>
      <c r="T243" s="35"/>
      <c r="U243" s="35"/>
      <c r="V243" s="177"/>
      <c r="W243" s="177"/>
      <c r="X243" s="59"/>
      <c r="Y243" s="35"/>
      <c r="Z243" s="59"/>
      <c r="AA243" s="178"/>
      <c r="AB243" s="59"/>
      <c r="AC243" s="59"/>
      <c r="AD243" s="59"/>
      <c r="AE243" s="59"/>
      <c r="AF243" s="178"/>
      <c r="AG243" s="59"/>
      <c r="AH243" s="35"/>
      <c r="AI243" s="35"/>
      <c r="AJ243" s="35"/>
      <c r="AK243" s="104"/>
      <c r="AL243" s="35"/>
      <c r="AM243" s="35"/>
      <c r="AN243" s="36"/>
      <c r="AO243" s="36"/>
      <c r="AP243" s="36"/>
      <c r="AQ243" s="36"/>
      <c r="AR243" s="36"/>
      <c r="AS243" s="36"/>
      <c r="AT243" s="36"/>
      <c r="AU243" s="36"/>
      <c r="AV243" s="36"/>
      <c r="AW243" s="36"/>
      <c r="AX243" s="36"/>
      <c r="AY243" s="36"/>
      <c r="AZ243" s="36"/>
      <c r="BA243" s="36"/>
      <c r="BB243" s="36"/>
      <c r="BC243" s="36"/>
      <c r="BD243" s="36"/>
      <c r="BE243" s="36"/>
    </row>
    <row r="244" spans="2:57" s="30" customFormat="1" ht="15" x14ac:dyDescent="0.2">
      <c r="B244" s="44" t="s">
        <v>498</v>
      </c>
      <c r="C244" s="152"/>
      <c r="D244" s="81" t="s">
        <v>5</v>
      </c>
      <c r="G244" s="33"/>
      <c r="H244" s="52"/>
      <c r="I244" s="51"/>
      <c r="J244" s="51"/>
      <c r="K244" s="33"/>
      <c r="L244" s="33"/>
      <c r="M244" s="81"/>
      <c r="N244" s="81"/>
      <c r="O244" s="96"/>
      <c r="P244" s="51"/>
      <c r="Q244" s="50"/>
      <c r="R244" s="35"/>
      <c r="S244" s="35"/>
      <c r="T244" s="35"/>
      <c r="U244" s="35"/>
      <c r="V244" s="35"/>
      <c r="W244" s="35"/>
      <c r="X244" s="35"/>
      <c r="Y244" s="35"/>
      <c r="Z244" s="35"/>
      <c r="AA244" s="35"/>
      <c r="AB244" s="35"/>
      <c r="AC244" s="35"/>
      <c r="AD244" s="35"/>
      <c r="AE244" s="35"/>
      <c r="AF244" s="35"/>
      <c r="AG244" s="35"/>
      <c r="AH244" s="35"/>
      <c r="AI244" s="35"/>
      <c r="AJ244" s="35"/>
      <c r="AK244" s="104"/>
      <c r="AL244" s="35"/>
      <c r="AM244" s="35"/>
      <c r="AN244" s="36"/>
      <c r="AO244" s="36"/>
      <c r="AP244" s="36"/>
      <c r="AQ244" s="36"/>
      <c r="AR244" s="36"/>
      <c r="AS244" s="36"/>
      <c r="AT244" s="36"/>
      <c r="AU244" s="36"/>
      <c r="AV244" s="36"/>
      <c r="AW244" s="36"/>
      <c r="AX244" s="36"/>
      <c r="AY244" s="36"/>
      <c r="AZ244" s="36"/>
      <c r="BA244" s="36"/>
      <c r="BB244" s="36"/>
      <c r="BC244" s="36"/>
      <c r="BD244" s="36"/>
      <c r="BE244" s="36"/>
    </row>
    <row r="245" spans="2:57" s="30" customFormat="1" ht="15" x14ac:dyDescent="0.2">
      <c r="B245" s="151" t="s">
        <v>1</v>
      </c>
      <c r="C245" s="33"/>
      <c r="D245" s="81"/>
      <c r="E245" s="33"/>
      <c r="F245" s="33"/>
      <c r="G245" s="37"/>
      <c r="H245" s="81"/>
      <c r="J245" s="32"/>
      <c r="K245" s="37" t="s">
        <v>297</v>
      </c>
      <c r="L245" s="37" t="s">
        <v>185</v>
      </c>
      <c r="M245" s="81"/>
      <c r="N245" s="81"/>
      <c r="O245" s="96"/>
      <c r="P245" s="33"/>
      <c r="Q245" s="34"/>
      <c r="R245" s="35" t="s">
        <v>318</v>
      </c>
      <c r="S245" s="35"/>
      <c r="T245" s="35" t="s">
        <v>400</v>
      </c>
      <c r="U245" s="35" t="s">
        <v>399</v>
      </c>
      <c r="V245" s="35" t="s">
        <v>397</v>
      </c>
      <c r="W245" s="35" t="s">
        <v>398</v>
      </c>
      <c r="X245" s="35" t="s">
        <v>401</v>
      </c>
      <c r="Y245" s="35" t="s">
        <v>403</v>
      </c>
      <c r="Z245" s="35" t="s">
        <v>402</v>
      </c>
      <c r="AA245" s="35" t="s">
        <v>186</v>
      </c>
      <c r="AB245" s="35" t="s">
        <v>345</v>
      </c>
      <c r="AC245" s="35" t="s">
        <v>404</v>
      </c>
      <c r="AD245" s="35" t="s">
        <v>346</v>
      </c>
      <c r="AE245" s="35" t="s">
        <v>405</v>
      </c>
      <c r="AF245" s="35" t="s">
        <v>406</v>
      </c>
      <c r="AG245" s="35" t="s">
        <v>578</v>
      </c>
      <c r="AH245" s="35" t="s">
        <v>190</v>
      </c>
      <c r="AI245" s="35" t="s">
        <v>249</v>
      </c>
      <c r="AJ245" s="35" t="s">
        <v>191</v>
      </c>
      <c r="AK245" s="104"/>
      <c r="AL245" s="35"/>
      <c r="AM245" s="35"/>
      <c r="AN245" s="36"/>
      <c r="AO245" s="36"/>
      <c r="AP245" s="36"/>
      <c r="AQ245" s="36"/>
      <c r="AR245" s="36"/>
      <c r="AS245" s="36"/>
      <c r="AT245" s="36"/>
      <c r="AU245" s="36"/>
      <c r="AV245" s="36"/>
      <c r="AW245" s="36"/>
      <c r="AX245" s="36"/>
      <c r="AY245" s="36"/>
      <c r="AZ245" s="36"/>
      <c r="BA245" s="36"/>
      <c r="BB245" s="36"/>
      <c r="BC245" s="36"/>
      <c r="BD245" s="36"/>
      <c r="BE245" s="36"/>
    </row>
    <row r="246" spans="2:57" s="30" customFormat="1" ht="30" x14ac:dyDescent="0.2">
      <c r="B246" s="166" t="s">
        <v>501</v>
      </c>
      <c r="C246" s="152"/>
      <c r="D246" s="86" t="s">
        <v>52</v>
      </c>
      <c r="E246" s="57"/>
      <c r="F246" s="55"/>
      <c r="G246" s="157"/>
      <c r="H246" s="81" t="str">
        <f>IF(D246="t","","t/m3")</f>
        <v/>
      </c>
      <c r="J246" s="169" t="s">
        <v>395</v>
      </c>
      <c r="K246" s="92" t="str">
        <f>IFERROR(IF(ISNUMBER(L246),L246,(VLOOKUP(C247,Kalusto!$C$45:$G$84,5,FALSE)*VLOOKUP(C248,Muut!$D$40:$E$43,2,FALSE))),"--")</f>
        <v>--</v>
      </c>
      <c r="L246" s="39"/>
      <c r="M246" s="40" t="s">
        <v>184</v>
      </c>
      <c r="N246" s="40"/>
      <c r="O246" s="259"/>
      <c r="Q246" s="45"/>
      <c r="R246" s="48" t="str">
        <f>IF(AND(NOT(ISNUMBER(AB246)),NOT(ISNUMBER(AG246))),"",IF(ISNUMBER(AB246),AB246,0)+IF(ISNUMBER(AG246),AG246,0))</f>
        <v/>
      </c>
      <c r="S246" s="98" t="s">
        <v>160</v>
      </c>
      <c r="T246" s="46" t="str">
        <f>IFERROR(IF(ISNUMBER(L246),"Kohdetieto",VLOOKUP(C247,Kalusto!$C$45:$L$84,7,FALSE)),"--")</f>
        <v>--</v>
      </c>
      <c r="U246" s="46" t="str">
        <f>IFERROR(IF(ISNUMBER(L246),"Kohdetieto",VLOOKUP(C247,Kalusto!$C$45:$L$84,8,FALSE)),"--")</f>
        <v>--</v>
      </c>
      <c r="V246" s="47" t="str">
        <f>IFERROR(IF(ISNUMBER(L246),"Kohdetieto",VLOOKUP(C247,Kalusto!$C$45:$L$84,9,FALSE)),"--")</f>
        <v>--</v>
      </c>
      <c r="W246" s="47" t="str">
        <f>IFERROR(IF(ISNUMBER(L246),"Kohdetieto",VLOOKUP(C247,Kalusto!$C$45:$L$84,10,FALSE)),"--")</f>
        <v>--</v>
      </c>
      <c r="X246" s="48" t="str">
        <f>IF(ISBLANK(C246),"",IF(D246="t",C246,C246*G246))</f>
        <v/>
      </c>
      <c r="Y246" s="46" t="str">
        <f>IF(ISNUMBER(C249),C249,"")</f>
        <v/>
      </c>
      <c r="Z246" s="48" t="str">
        <f>IF(ISNUMBER(X246/(U246*V246)*Y246),X246/(U246*V246)*Y246,"")</f>
        <v/>
      </c>
      <c r="AA246" s="49" t="str">
        <f>IF(ISNUMBER(L246),L246,K246)</f>
        <v>--</v>
      </c>
      <c r="AB246" s="48" t="str">
        <f>IF(ISNUMBER(Y246*X246*K246),Y246*X246*K246,"")</f>
        <v/>
      </c>
      <c r="AC246" s="48" t="str">
        <f>IF(ISNUMBER(Y246),Y246,"")</f>
        <v/>
      </c>
      <c r="AD246" s="48" t="str">
        <f>IF(ISNUMBER(X246),IF(ISNUMBER(X246/(U246*V246)),CEILING(X246/(U246*V246),1),""),"")</f>
        <v/>
      </c>
      <c r="AE246" s="48" t="str">
        <f>IF(ISNUMBER(AD246*AC246),AD246*AC246,"")</f>
        <v/>
      </c>
      <c r="AF246" s="49" t="str">
        <f>IF(ISNUMBER(L247),L247,K247)</f>
        <v>--</v>
      </c>
      <c r="AG246" s="48" t="str">
        <f>IF(ISNUMBER(AC246*AD246*K247),AC246*AD246*K247,"")</f>
        <v/>
      </c>
      <c r="AH246" s="46">
        <f>IF(T246="Jakelukuorma-auto",0,IF(T246="Maansiirtoauto",4,IF(T246="Puoliperävaunu",6,8)))</f>
        <v>8</v>
      </c>
      <c r="AI246" s="46">
        <f>IF(AND(T246="Jakelukuorma-auto",U246=6),0,IF(AND(T246="Jakelukuorma-auto",U246=15),2,0))</f>
        <v>0</v>
      </c>
      <c r="AJ246" s="46">
        <f>IF(W246="maantieajo",0,1)</f>
        <v>1</v>
      </c>
      <c r="AK246" s="104"/>
      <c r="AL246" s="35"/>
      <c r="AM246" s="35"/>
      <c r="AN246" s="36"/>
      <c r="AO246" s="36"/>
      <c r="AP246" s="36"/>
      <c r="AQ246" s="36"/>
      <c r="AR246" s="36"/>
      <c r="AS246" s="36"/>
      <c r="AT246" s="36"/>
      <c r="AU246" s="36"/>
      <c r="AV246" s="36"/>
      <c r="AW246" s="36"/>
      <c r="AX246" s="36"/>
      <c r="AY246" s="36"/>
      <c r="AZ246" s="36"/>
      <c r="BA246" s="36"/>
      <c r="BB246" s="36"/>
      <c r="BC246" s="36"/>
      <c r="BD246" s="36"/>
      <c r="BE246" s="36"/>
    </row>
    <row r="247" spans="2:57" s="30" customFormat="1" ht="30" x14ac:dyDescent="0.2">
      <c r="B247" s="166" t="s">
        <v>499</v>
      </c>
      <c r="C247" s="471" t="s">
        <v>298</v>
      </c>
      <c r="D247" s="472"/>
      <c r="E247" s="472"/>
      <c r="F247" s="472"/>
      <c r="G247" s="473"/>
      <c r="H247" s="30" t="s">
        <v>187</v>
      </c>
      <c r="J247" s="32" t="s">
        <v>396</v>
      </c>
      <c r="K247" s="92" t="str">
        <f>IFERROR(IF(ISNUMBER(L247),L247,(VLOOKUP(C247,Kalusto!$C$45:$V$84,19,FALSE)*(VLOOKUP(C248,Muut!$D$40:$E$43,2,FALSE)))),"--")</f>
        <v>--</v>
      </c>
      <c r="L247" s="39"/>
      <c r="M247" s="40" t="s">
        <v>188</v>
      </c>
      <c r="N247" s="40"/>
      <c r="O247" s="259"/>
      <c r="P247" s="33"/>
      <c r="Q247" s="50"/>
      <c r="R247" s="35"/>
      <c r="S247" s="35"/>
      <c r="T247" s="35"/>
      <c r="U247" s="35"/>
      <c r="V247" s="35"/>
      <c r="W247" s="35"/>
      <c r="X247" s="35"/>
      <c r="Y247" s="35"/>
      <c r="Z247" s="35"/>
      <c r="AA247" s="35"/>
      <c r="AB247" s="35"/>
      <c r="AC247" s="35"/>
      <c r="AD247" s="35"/>
      <c r="AE247" s="35"/>
      <c r="AF247" s="35"/>
      <c r="AG247" s="35"/>
      <c r="AH247" s="35"/>
      <c r="AI247" s="35"/>
      <c r="AJ247" s="35"/>
      <c r="AK247" s="104"/>
      <c r="AL247" s="35"/>
      <c r="AM247" s="35"/>
      <c r="AN247" s="36"/>
      <c r="AO247" s="36"/>
      <c r="AP247" s="36"/>
      <c r="AQ247" s="36"/>
      <c r="AR247" s="36"/>
      <c r="AS247" s="36"/>
      <c r="AT247" s="36"/>
      <c r="AU247" s="36"/>
      <c r="AV247" s="36"/>
      <c r="AW247" s="36"/>
      <c r="AX247" s="36"/>
      <c r="AY247" s="36"/>
      <c r="AZ247" s="36"/>
      <c r="BA247" s="36"/>
      <c r="BB247" s="36"/>
      <c r="BC247" s="36"/>
      <c r="BD247" s="36"/>
      <c r="BE247" s="36"/>
    </row>
    <row r="248" spans="2:57" s="30" customFormat="1" ht="15" x14ac:dyDescent="0.2">
      <c r="B248" s="182" t="s">
        <v>457</v>
      </c>
      <c r="C248" s="156" t="s">
        <v>309</v>
      </c>
      <c r="D248" s="33"/>
      <c r="E248" s="33"/>
      <c r="F248" s="33"/>
      <c r="G248" s="33"/>
      <c r="H248" s="57"/>
      <c r="J248" s="169"/>
      <c r="K248" s="169"/>
      <c r="L248" s="169"/>
      <c r="M248" s="40"/>
      <c r="N248" s="40"/>
      <c r="O248" s="259"/>
      <c r="Q248" s="45"/>
      <c r="R248" s="98"/>
      <c r="S248" s="98"/>
      <c r="T248" s="35"/>
      <c r="U248" s="35"/>
      <c r="V248" s="177"/>
      <c r="W248" s="177"/>
      <c r="X248" s="59"/>
      <c r="Y248" s="35"/>
      <c r="Z248" s="59"/>
      <c r="AA248" s="178"/>
      <c r="AB248" s="59"/>
      <c r="AC248" s="59"/>
      <c r="AD248" s="59"/>
      <c r="AE248" s="59"/>
      <c r="AF248" s="178"/>
      <c r="AG248" s="59"/>
      <c r="AH248" s="35"/>
      <c r="AI248" s="35"/>
      <c r="AJ248" s="35"/>
      <c r="AK248" s="104"/>
      <c r="AL248" s="35"/>
      <c r="AM248" s="35"/>
      <c r="AN248" s="36"/>
      <c r="AO248" s="36"/>
      <c r="AP248" s="36"/>
      <c r="AQ248" s="36"/>
      <c r="AR248" s="36"/>
      <c r="AS248" s="36"/>
      <c r="AT248" s="36"/>
      <c r="AU248" s="36"/>
      <c r="AV248" s="36"/>
      <c r="AW248" s="36"/>
      <c r="AX248" s="36"/>
      <c r="AY248" s="36"/>
      <c r="AZ248" s="36"/>
      <c r="BA248" s="36"/>
      <c r="BB248" s="36"/>
      <c r="BC248" s="36"/>
      <c r="BD248" s="36"/>
      <c r="BE248" s="36"/>
    </row>
    <row r="249" spans="2:57" s="30" customFormat="1" ht="15" x14ac:dyDescent="0.2">
      <c r="B249" s="44" t="s">
        <v>498</v>
      </c>
      <c r="C249" s="152"/>
      <c r="D249" s="81" t="s">
        <v>5</v>
      </c>
      <c r="G249" s="33"/>
      <c r="H249" s="52"/>
      <c r="I249" s="51"/>
      <c r="J249" s="51"/>
      <c r="K249" s="33"/>
      <c r="L249" s="33"/>
      <c r="M249" s="81"/>
      <c r="N249" s="81"/>
      <c r="O249" s="96"/>
      <c r="P249" s="51"/>
      <c r="Q249" s="50"/>
      <c r="R249" s="35"/>
      <c r="S249" s="35"/>
      <c r="T249" s="35"/>
      <c r="U249" s="35"/>
      <c r="V249" s="35"/>
      <c r="W249" s="35"/>
      <c r="X249" s="35"/>
      <c r="Y249" s="35"/>
      <c r="Z249" s="35"/>
      <c r="AA249" s="35"/>
      <c r="AB249" s="35"/>
      <c r="AC249" s="35"/>
      <c r="AD249" s="35"/>
      <c r="AE249" s="35"/>
      <c r="AF249" s="35"/>
      <c r="AG249" s="35"/>
      <c r="AH249" s="35"/>
      <c r="AI249" s="35"/>
      <c r="AJ249" s="35"/>
      <c r="AK249" s="104"/>
      <c r="AL249" s="35"/>
      <c r="AM249" s="35"/>
      <c r="AN249" s="36"/>
      <c r="AO249" s="36"/>
      <c r="AP249" s="36"/>
      <c r="AQ249" s="36"/>
      <c r="AR249" s="36"/>
      <c r="AS249" s="36"/>
      <c r="AT249" s="36"/>
      <c r="AU249" s="36"/>
      <c r="AV249" s="36"/>
      <c r="AW249" s="36"/>
      <c r="AX249" s="36"/>
      <c r="AY249" s="36"/>
      <c r="AZ249" s="36"/>
      <c r="BA249" s="36"/>
      <c r="BB249" s="36"/>
      <c r="BC249" s="36"/>
      <c r="BD249" s="36"/>
      <c r="BE249" s="36"/>
    </row>
    <row r="250" spans="2:57" s="30" customFormat="1" ht="15" x14ac:dyDescent="0.2">
      <c r="B250" s="151" t="s">
        <v>2</v>
      </c>
      <c r="C250" s="33"/>
      <c r="D250" s="81"/>
      <c r="E250" s="33"/>
      <c r="F250" s="33"/>
      <c r="G250" s="37"/>
      <c r="H250" s="81"/>
      <c r="J250" s="32"/>
      <c r="K250" s="37" t="s">
        <v>297</v>
      </c>
      <c r="L250" s="37" t="s">
        <v>185</v>
      </c>
      <c r="M250" s="81"/>
      <c r="N250" s="81"/>
      <c r="O250" s="96"/>
      <c r="P250" s="33"/>
      <c r="Q250" s="34"/>
      <c r="R250" s="35" t="s">
        <v>318</v>
      </c>
      <c r="S250" s="35"/>
      <c r="T250" s="35" t="s">
        <v>400</v>
      </c>
      <c r="U250" s="35" t="s">
        <v>399</v>
      </c>
      <c r="V250" s="35" t="s">
        <v>397</v>
      </c>
      <c r="W250" s="35" t="s">
        <v>398</v>
      </c>
      <c r="X250" s="35" t="s">
        <v>401</v>
      </c>
      <c r="Y250" s="35" t="s">
        <v>403</v>
      </c>
      <c r="Z250" s="35" t="s">
        <v>402</v>
      </c>
      <c r="AA250" s="35" t="s">
        <v>186</v>
      </c>
      <c r="AB250" s="35" t="s">
        <v>345</v>
      </c>
      <c r="AC250" s="35" t="s">
        <v>404</v>
      </c>
      <c r="AD250" s="35" t="s">
        <v>346</v>
      </c>
      <c r="AE250" s="35" t="s">
        <v>405</v>
      </c>
      <c r="AF250" s="35" t="s">
        <v>406</v>
      </c>
      <c r="AG250" s="35" t="s">
        <v>578</v>
      </c>
      <c r="AH250" s="35" t="s">
        <v>190</v>
      </c>
      <c r="AI250" s="35" t="s">
        <v>249</v>
      </c>
      <c r="AJ250" s="35" t="s">
        <v>191</v>
      </c>
      <c r="AK250" s="104"/>
      <c r="AL250" s="35"/>
      <c r="AM250" s="35"/>
      <c r="AN250" s="36"/>
      <c r="AO250" s="36"/>
      <c r="AP250" s="36"/>
      <c r="AQ250" s="36"/>
      <c r="AR250" s="36"/>
      <c r="AS250" s="36"/>
      <c r="AT250" s="36"/>
      <c r="AU250" s="36"/>
      <c r="AV250" s="36"/>
      <c r="AW250" s="36"/>
      <c r="AX250" s="36"/>
      <c r="AY250" s="36"/>
      <c r="AZ250" s="36"/>
      <c r="BA250" s="36"/>
      <c r="BB250" s="36"/>
      <c r="BC250" s="36"/>
      <c r="BD250" s="36"/>
      <c r="BE250" s="36"/>
    </row>
    <row r="251" spans="2:57" s="30" customFormat="1" ht="30" x14ac:dyDescent="0.2">
      <c r="B251" s="166" t="s">
        <v>501</v>
      </c>
      <c r="C251" s="152"/>
      <c r="D251" s="86" t="s">
        <v>52</v>
      </c>
      <c r="E251" s="57"/>
      <c r="F251" s="55"/>
      <c r="G251" s="157"/>
      <c r="H251" s="81" t="str">
        <f>IF(D251="t","","t/m3")</f>
        <v/>
      </c>
      <c r="J251" s="169" t="s">
        <v>395</v>
      </c>
      <c r="K251" s="92" t="str">
        <f>IFERROR(IF(ISNUMBER(L251),L251,(VLOOKUP(C252,Kalusto!$C$45:$G$84,5,FALSE)*VLOOKUP(C253,Muut!$D$40:$E$43,2,FALSE))),"--")</f>
        <v>--</v>
      </c>
      <c r="L251" s="39"/>
      <c r="M251" s="40" t="s">
        <v>184</v>
      </c>
      <c r="N251" s="40"/>
      <c r="O251" s="259"/>
      <c r="Q251" s="45"/>
      <c r="R251" s="48" t="str">
        <f>IF(AND(NOT(ISNUMBER(AB251)),NOT(ISNUMBER(AG251))),"",IF(ISNUMBER(AB251),AB251,0)+IF(ISNUMBER(AG251),AG251,0))</f>
        <v/>
      </c>
      <c r="S251" s="98" t="s">
        <v>160</v>
      </c>
      <c r="T251" s="46" t="str">
        <f>IFERROR(IF(ISNUMBER(L251),"Kohdetieto",VLOOKUP(C252,Kalusto!$C$45:$L$84,7,FALSE)),"--")</f>
        <v>--</v>
      </c>
      <c r="U251" s="46" t="str">
        <f>IFERROR(IF(ISNUMBER(L251),"Kohdetieto",VLOOKUP(C252,Kalusto!$C$45:$L$84,8,FALSE)),"--")</f>
        <v>--</v>
      </c>
      <c r="V251" s="47" t="str">
        <f>IFERROR(IF(ISNUMBER(L251),"Kohdetieto",VLOOKUP(C252,Kalusto!$C$45:$L$84,9,FALSE)),"--")</f>
        <v>--</v>
      </c>
      <c r="W251" s="47" t="str">
        <f>IFERROR(IF(ISNUMBER(L251),"Kohdetieto",VLOOKUP(C252,Kalusto!$C$45:$L$84,10,FALSE)),"--")</f>
        <v>--</v>
      </c>
      <c r="X251" s="48" t="str">
        <f>IF(ISBLANK(C251),"",IF(D251="t",C251,C251*G251))</f>
        <v/>
      </c>
      <c r="Y251" s="46" t="str">
        <f>IF(ISNUMBER(C254),C254,"")</f>
        <v/>
      </c>
      <c r="Z251" s="48" t="str">
        <f>IF(ISNUMBER(X251/(U251*V251)*Y251),X251/(U251*V251)*Y251,"")</f>
        <v/>
      </c>
      <c r="AA251" s="49" t="str">
        <f>IF(ISNUMBER(L251),L251,K251)</f>
        <v>--</v>
      </c>
      <c r="AB251" s="48" t="str">
        <f>IF(ISNUMBER(Y251*X251*K251),Y251*X251*K251,"")</f>
        <v/>
      </c>
      <c r="AC251" s="48" t="str">
        <f>IF(ISNUMBER(Y251),Y251,"")</f>
        <v/>
      </c>
      <c r="AD251" s="48" t="str">
        <f>IF(ISNUMBER(X251),IF(ISNUMBER(X251/(U251*V251)),CEILING(X251/(U251*V251),1),""),"")</f>
        <v/>
      </c>
      <c r="AE251" s="48" t="str">
        <f>IF(ISNUMBER(AD251*AC251),AD251*AC251,"")</f>
        <v/>
      </c>
      <c r="AF251" s="49" t="str">
        <f>IF(ISNUMBER(L252),L252,K252)</f>
        <v>--</v>
      </c>
      <c r="AG251" s="48" t="str">
        <f>IF(ISNUMBER(AC251*AD251*K252),AC251*AD251*K252,"")</f>
        <v/>
      </c>
      <c r="AH251" s="46">
        <f>IF(T251="Jakelukuorma-auto",0,IF(T251="Maansiirtoauto",4,IF(T251="Puoliperävaunu",6,8)))</f>
        <v>8</v>
      </c>
      <c r="AI251" s="46">
        <f>IF(AND(T251="Jakelukuorma-auto",U251=6),0,IF(AND(T251="Jakelukuorma-auto",U251=15),2,0))</f>
        <v>0</v>
      </c>
      <c r="AJ251" s="46">
        <f>IF(W251="maantieajo",0,1)</f>
        <v>1</v>
      </c>
      <c r="AK251" s="104"/>
      <c r="AL251" s="35"/>
      <c r="AM251" s="35"/>
      <c r="AN251" s="36"/>
      <c r="AO251" s="36"/>
      <c r="AP251" s="36"/>
      <c r="AQ251" s="36"/>
      <c r="AR251" s="36"/>
      <c r="AS251" s="36"/>
      <c r="AT251" s="36"/>
      <c r="AU251" s="36"/>
      <c r="AV251" s="36"/>
      <c r="AW251" s="36"/>
      <c r="AX251" s="36"/>
      <c r="AY251" s="36"/>
      <c r="AZ251" s="36"/>
      <c r="BA251" s="36"/>
      <c r="BB251" s="36"/>
      <c r="BC251" s="36"/>
      <c r="BD251" s="36"/>
      <c r="BE251" s="36"/>
    </row>
    <row r="252" spans="2:57" s="30" customFormat="1" ht="30" x14ac:dyDescent="0.2">
      <c r="B252" s="166" t="s">
        <v>499</v>
      </c>
      <c r="C252" s="471" t="s">
        <v>298</v>
      </c>
      <c r="D252" s="472"/>
      <c r="E252" s="472"/>
      <c r="F252" s="472"/>
      <c r="G252" s="473"/>
      <c r="J252" s="32" t="s">
        <v>396</v>
      </c>
      <c r="K252" s="92" t="str">
        <f>IFERROR(IF(ISNUMBER(L252),L252,(VLOOKUP(C252,Kalusto!$C$45:$V$84,19,FALSE)*(VLOOKUP(C253,Muut!$D$40:$E$43,2,FALSE)))),"--")</f>
        <v>--</v>
      </c>
      <c r="L252" s="39"/>
      <c r="M252" s="40" t="s">
        <v>188</v>
      </c>
      <c r="N252" s="40"/>
      <c r="O252" s="259"/>
      <c r="P252" s="33"/>
      <c r="Q252" s="50"/>
      <c r="R252" s="35"/>
      <c r="S252" s="35"/>
      <c r="T252" s="35"/>
      <c r="U252" s="35"/>
      <c r="V252" s="35"/>
      <c r="W252" s="35"/>
      <c r="X252" s="35"/>
      <c r="Y252" s="35"/>
      <c r="Z252" s="35"/>
      <c r="AA252" s="35"/>
      <c r="AB252" s="35"/>
      <c r="AC252" s="35"/>
      <c r="AD252" s="35"/>
      <c r="AE252" s="35"/>
      <c r="AF252" s="35"/>
      <c r="AG252" s="35"/>
      <c r="AH252" s="35"/>
      <c r="AI252" s="35"/>
      <c r="AJ252" s="35"/>
      <c r="AK252" s="104"/>
      <c r="AL252" s="35"/>
      <c r="AM252" s="35"/>
      <c r="AN252" s="36"/>
      <c r="AO252" s="36"/>
      <c r="AP252" s="36"/>
      <c r="AQ252" s="36"/>
      <c r="AR252" s="36"/>
      <c r="AS252" s="36"/>
      <c r="AT252" s="36"/>
      <c r="AU252" s="36"/>
      <c r="AV252" s="36"/>
      <c r="AW252" s="36"/>
      <c r="AX252" s="36"/>
      <c r="AY252" s="36"/>
      <c r="AZ252" s="36"/>
      <c r="BA252" s="36"/>
      <c r="BB252" s="36"/>
      <c r="BC252" s="36"/>
      <c r="BD252" s="36"/>
      <c r="BE252" s="36"/>
    </row>
    <row r="253" spans="2:57" s="30" customFormat="1" ht="15" x14ac:dyDescent="0.2">
      <c r="B253" s="182" t="s">
        <v>457</v>
      </c>
      <c r="C253" s="156" t="s">
        <v>309</v>
      </c>
      <c r="D253" s="33"/>
      <c r="E253" s="33"/>
      <c r="F253" s="33"/>
      <c r="G253" s="33"/>
      <c r="H253" s="57"/>
      <c r="J253" s="169"/>
      <c r="K253" s="169"/>
      <c r="L253" s="169"/>
      <c r="M253" s="40"/>
      <c r="N253" s="40"/>
      <c r="O253" s="259"/>
      <c r="Q253" s="45"/>
      <c r="R253" s="98"/>
      <c r="S253" s="98"/>
      <c r="T253" s="35"/>
      <c r="U253" s="35"/>
      <c r="V253" s="177"/>
      <c r="W253" s="177"/>
      <c r="X253" s="59"/>
      <c r="Y253" s="35"/>
      <c r="Z253" s="59"/>
      <c r="AA253" s="178"/>
      <c r="AB253" s="59"/>
      <c r="AC253" s="59"/>
      <c r="AD253" s="59"/>
      <c r="AE253" s="59"/>
      <c r="AF253" s="178"/>
      <c r="AG253" s="59"/>
      <c r="AH253" s="35"/>
      <c r="AI253" s="35"/>
      <c r="AJ253" s="35"/>
      <c r="AK253" s="104"/>
      <c r="AL253" s="35"/>
      <c r="AM253" s="35"/>
      <c r="AN253" s="36"/>
      <c r="AO253" s="36"/>
      <c r="AP253" s="36"/>
      <c r="AQ253" s="36"/>
      <c r="AR253" s="36"/>
      <c r="AS253" s="36"/>
      <c r="AT253" s="36"/>
      <c r="AU253" s="36"/>
      <c r="AV253" s="36"/>
      <c r="AW253" s="36"/>
      <c r="AX253" s="36"/>
      <c r="AY253" s="36"/>
      <c r="AZ253" s="36"/>
      <c r="BA253" s="36"/>
      <c r="BB253" s="36"/>
      <c r="BC253" s="36"/>
      <c r="BD253" s="36"/>
      <c r="BE253" s="36"/>
    </row>
    <row r="254" spans="2:57" s="30" customFormat="1" ht="15" x14ac:dyDescent="0.2">
      <c r="B254" s="44" t="s">
        <v>498</v>
      </c>
      <c r="C254" s="152"/>
      <c r="D254" s="81" t="s">
        <v>5</v>
      </c>
      <c r="G254" s="33"/>
      <c r="H254" s="81"/>
      <c r="I254" s="51"/>
      <c r="J254" s="51"/>
      <c r="K254" s="33"/>
      <c r="L254" s="33"/>
      <c r="M254" s="81"/>
      <c r="N254" s="81"/>
      <c r="O254" s="96"/>
      <c r="P254" s="51"/>
      <c r="Q254" s="50"/>
      <c r="R254" s="35"/>
      <c r="S254" s="35"/>
      <c r="T254" s="35"/>
      <c r="U254" s="35"/>
      <c r="V254" s="35"/>
      <c r="W254" s="35"/>
      <c r="X254" s="35"/>
      <c r="Y254" s="35"/>
      <c r="Z254" s="35"/>
      <c r="AA254" s="35"/>
      <c r="AB254" s="35"/>
      <c r="AC254" s="35"/>
      <c r="AD254" s="35"/>
      <c r="AE254" s="35"/>
      <c r="AF254" s="35"/>
      <c r="AG254" s="35"/>
      <c r="AH254" s="35"/>
      <c r="AI254" s="35"/>
      <c r="AJ254" s="35"/>
      <c r="AK254" s="104"/>
      <c r="AL254" s="35"/>
      <c r="AM254" s="35"/>
      <c r="AN254" s="36"/>
      <c r="AO254" s="36"/>
      <c r="AP254" s="36"/>
      <c r="AQ254" s="36"/>
      <c r="AR254" s="36"/>
      <c r="AS254" s="36"/>
      <c r="AT254" s="36"/>
      <c r="AU254" s="36"/>
      <c r="AV254" s="36"/>
      <c r="AW254" s="36"/>
      <c r="AX254" s="36"/>
      <c r="AY254" s="36"/>
      <c r="AZ254" s="36"/>
      <c r="BA254" s="36"/>
      <c r="BB254" s="36"/>
      <c r="BC254" s="36"/>
      <c r="BD254" s="36"/>
      <c r="BE254" s="36"/>
    </row>
    <row r="255" spans="2:57" s="30" customFormat="1" ht="15" x14ac:dyDescent="0.2">
      <c r="B255" s="151" t="s">
        <v>3</v>
      </c>
      <c r="C255" s="33"/>
      <c r="D255" s="81"/>
      <c r="E255" s="33"/>
      <c r="F255" s="33"/>
      <c r="G255" s="37"/>
      <c r="H255" s="81"/>
      <c r="J255" s="32"/>
      <c r="K255" s="37" t="s">
        <v>297</v>
      </c>
      <c r="L255" s="37" t="s">
        <v>185</v>
      </c>
      <c r="M255" s="81"/>
      <c r="N255" s="81"/>
      <c r="O255" s="96"/>
      <c r="P255" s="33"/>
      <c r="Q255" s="34"/>
      <c r="R255" s="35" t="s">
        <v>318</v>
      </c>
      <c r="S255" s="35"/>
      <c r="T255" s="35" t="s">
        <v>400</v>
      </c>
      <c r="U255" s="35" t="s">
        <v>399</v>
      </c>
      <c r="V255" s="35" t="s">
        <v>397</v>
      </c>
      <c r="W255" s="35" t="s">
        <v>398</v>
      </c>
      <c r="X255" s="35" t="s">
        <v>401</v>
      </c>
      <c r="Y255" s="35" t="s">
        <v>403</v>
      </c>
      <c r="Z255" s="35" t="s">
        <v>402</v>
      </c>
      <c r="AA255" s="35" t="s">
        <v>186</v>
      </c>
      <c r="AB255" s="35" t="s">
        <v>345</v>
      </c>
      <c r="AC255" s="35" t="s">
        <v>404</v>
      </c>
      <c r="AD255" s="35" t="s">
        <v>346</v>
      </c>
      <c r="AE255" s="35" t="s">
        <v>405</v>
      </c>
      <c r="AF255" s="35" t="s">
        <v>406</v>
      </c>
      <c r="AG255" s="35" t="s">
        <v>578</v>
      </c>
      <c r="AH255" s="35" t="s">
        <v>190</v>
      </c>
      <c r="AI255" s="35" t="s">
        <v>249</v>
      </c>
      <c r="AJ255" s="35" t="s">
        <v>191</v>
      </c>
      <c r="AK255" s="104"/>
      <c r="AL255" s="35"/>
      <c r="AM255" s="35"/>
      <c r="AN255" s="36"/>
      <c r="AO255" s="36"/>
      <c r="AP255" s="36"/>
      <c r="AQ255" s="36"/>
      <c r="AR255" s="36"/>
      <c r="AS255" s="36"/>
      <c r="AT255" s="36"/>
      <c r="AU255" s="36"/>
      <c r="AV255" s="36"/>
      <c r="AW255" s="36"/>
      <c r="AX255" s="36"/>
      <c r="AY255" s="36"/>
      <c r="AZ255" s="36"/>
      <c r="BA255" s="36"/>
      <c r="BB255" s="36"/>
      <c r="BC255" s="36"/>
      <c r="BD255" s="36"/>
      <c r="BE255" s="36"/>
    </row>
    <row r="256" spans="2:57" s="30" customFormat="1" ht="30" x14ac:dyDescent="0.2">
      <c r="B256" s="166" t="s">
        <v>501</v>
      </c>
      <c r="C256" s="152"/>
      <c r="D256" s="86" t="s">
        <v>52</v>
      </c>
      <c r="E256" s="57"/>
      <c r="F256" s="55"/>
      <c r="G256" s="157"/>
      <c r="H256" s="81" t="str">
        <f>IF(D256="t","","t/m3")</f>
        <v/>
      </c>
      <c r="J256" s="169" t="s">
        <v>395</v>
      </c>
      <c r="K256" s="92" t="str">
        <f>IFERROR(IF(ISNUMBER(L256),L256,(VLOOKUP(C257,Kalusto!$C$45:$G$84,5,FALSE)*VLOOKUP(C258,Muut!$D$40:$E$43,2,FALSE))),"--")</f>
        <v>--</v>
      </c>
      <c r="L256" s="39"/>
      <c r="M256" s="40" t="s">
        <v>184</v>
      </c>
      <c r="N256" s="40"/>
      <c r="O256" s="259"/>
      <c r="Q256" s="45"/>
      <c r="R256" s="48" t="str">
        <f>IF(AND(NOT(ISNUMBER(AB256)),NOT(ISNUMBER(AG256))),"",IF(ISNUMBER(AB256),AB256,0)+IF(ISNUMBER(AG256),AG256,0))</f>
        <v/>
      </c>
      <c r="S256" s="98" t="s">
        <v>160</v>
      </c>
      <c r="T256" s="46" t="str">
        <f>IFERROR(IF(ISNUMBER(L256),"Kohdetieto",VLOOKUP(C257,Kalusto!$C$45:$L$84,7,FALSE)),"--")</f>
        <v>--</v>
      </c>
      <c r="U256" s="46" t="str">
        <f>IFERROR(IF(ISNUMBER(L256),"Kohdetieto",VLOOKUP(C257,Kalusto!$C$45:$L$84,8,FALSE)),"--")</f>
        <v>--</v>
      </c>
      <c r="V256" s="47" t="str">
        <f>IFERROR(IF(ISNUMBER(L256),"Kohdetieto",VLOOKUP(C257,Kalusto!$C$45:$L$84,9,FALSE)),"--")</f>
        <v>--</v>
      </c>
      <c r="W256" s="47" t="str">
        <f>IFERROR(IF(ISNUMBER(L256),"Kohdetieto",VLOOKUP(C257,Kalusto!$C$45:$L$84,10,FALSE)),"--")</f>
        <v>--</v>
      </c>
      <c r="X256" s="48" t="str">
        <f>IF(ISBLANK(C256),"",IF(D256="t",C256,C256*G256))</f>
        <v/>
      </c>
      <c r="Y256" s="46" t="str">
        <f>IF(ISNUMBER(C259),C259,"")</f>
        <v/>
      </c>
      <c r="Z256" s="48" t="str">
        <f>IF(ISNUMBER(X256/(U256*V256)*Y256),X256/(U256*V256)*Y256,"")</f>
        <v/>
      </c>
      <c r="AA256" s="49" t="str">
        <f>IF(ISNUMBER(L256),L256,K256)</f>
        <v>--</v>
      </c>
      <c r="AB256" s="48" t="str">
        <f>IF(ISNUMBER(Y256*X256*K256),Y256*X256*K256,"")</f>
        <v/>
      </c>
      <c r="AC256" s="48" t="str">
        <f>IF(ISNUMBER(Y256),Y256,"")</f>
        <v/>
      </c>
      <c r="AD256" s="48" t="str">
        <f>IF(ISNUMBER(X256),IF(ISNUMBER(X256/(U256*V256)),CEILING(X256/(U256*V256),1),""),"")</f>
        <v/>
      </c>
      <c r="AE256" s="48" t="str">
        <f>IF(ISNUMBER(AD256*AC256),AD256*AC256,"")</f>
        <v/>
      </c>
      <c r="AF256" s="49" t="str">
        <f>IF(ISNUMBER(L257),L257,K257)</f>
        <v>--</v>
      </c>
      <c r="AG256" s="48" t="str">
        <f>IF(ISNUMBER(AC256*AD256*K257),AC256*AD256*K257,"")</f>
        <v/>
      </c>
      <c r="AH256" s="46">
        <f>IF(T256="Jakelukuorma-auto",0,IF(T256="Maansiirtoauto",4,IF(T256="Puoliperävaunu",6,8)))</f>
        <v>8</v>
      </c>
      <c r="AI256" s="46">
        <f>IF(AND(T256="Jakelukuorma-auto",U256=6),0,IF(AND(T256="Jakelukuorma-auto",U256=15),2,0))</f>
        <v>0</v>
      </c>
      <c r="AJ256" s="46">
        <f>IF(W256="maantieajo",0,1)</f>
        <v>1</v>
      </c>
      <c r="AK256" s="104"/>
      <c r="AL256" s="35"/>
      <c r="AM256" s="35"/>
      <c r="AN256" s="36"/>
      <c r="AO256" s="36"/>
      <c r="AP256" s="36"/>
      <c r="AQ256" s="36"/>
      <c r="AR256" s="36"/>
      <c r="AS256" s="36"/>
      <c r="AT256" s="36"/>
      <c r="AU256" s="36"/>
      <c r="AV256" s="36"/>
      <c r="AW256" s="36"/>
      <c r="AX256" s="36"/>
      <c r="AY256" s="36"/>
      <c r="AZ256" s="36"/>
      <c r="BA256" s="36"/>
      <c r="BB256" s="36"/>
      <c r="BC256" s="36"/>
      <c r="BD256" s="36"/>
      <c r="BE256" s="36"/>
    </row>
    <row r="257" spans="2:57" s="30" customFormat="1" ht="30" x14ac:dyDescent="0.2">
      <c r="B257" s="166" t="s">
        <v>499</v>
      </c>
      <c r="C257" s="471" t="s">
        <v>298</v>
      </c>
      <c r="D257" s="472"/>
      <c r="E257" s="472"/>
      <c r="F257" s="472"/>
      <c r="G257" s="473"/>
      <c r="J257" s="32" t="s">
        <v>396</v>
      </c>
      <c r="K257" s="92" t="str">
        <f>IFERROR(IF(ISNUMBER(L257),L257,(VLOOKUP(C257,Kalusto!$C$45:$V$84,19,FALSE)*(VLOOKUP(C258,Muut!$D$40:$E$43,2,FALSE)))),"--")</f>
        <v>--</v>
      </c>
      <c r="L257" s="39"/>
      <c r="M257" s="40" t="s">
        <v>188</v>
      </c>
      <c r="N257" s="40"/>
      <c r="O257" s="259"/>
      <c r="P257" s="33"/>
      <c r="Q257" s="50"/>
      <c r="R257" s="35"/>
      <c r="S257" s="35"/>
      <c r="T257" s="35"/>
      <c r="U257" s="35"/>
      <c r="V257" s="35"/>
      <c r="W257" s="35"/>
      <c r="X257" s="35"/>
      <c r="Y257" s="35"/>
      <c r="Z257" s="35"/>
      <c r="AA257" s="35"/>
      <c r="AB257" s="35"/>
      <c r="AC257" s="35"/>
      <c r="AD257" s="35"/>
      <c r="AE257" s="35"/>
      <c r="AF257" s="35"/>
      <c r="AG257" s="35"/>
      <c r="AH257" s="35"/>
      <c r="AI257" s="35"/>
      <c r="AJ257" s="35"/>
      <c r="AK257" s="104"/>
      <c r="AL257" s="35"/>
      <c r="AM257" s="35"/>
      <c r="AN257" s="36"/>
      <c r="AO257" s="36"/>
      <c r="AP257" s="36"/>
      <c r="AQ257" s="36"/>
      <c r="AR257" s="36"/>
      <c r="AS257" s="36"/>
      <c r="AT257" s="36"/>
      <c r="AU257" s="36"/>
      <c r="AV257" s="36"/>
      <c r="AW257" s="36"/>
      <c r="AX257" s="36"/>
      <c r="AY257" s="36"/>
      <c r="AZ257" s="36"/>
      <c r="BA257" s="36"/>
      <c r="BB257" s="36"/>
      <c r="BC257" s="36"/>
      <c r="BD257" s="36"/>
      <c r="BE257" s="36"/>
    </row>
    <row r="258" spans="2:57" s="30" customFormat="1" ht="15" x14ac:dyDescent="0.2">
      <c r="B258" s="182" t="s">
        <v>457</v>
      </c>
      <c r="C258" s="156" t="s">
        <v>309</v>
      </c>
      <c r="D258" s="33"/>
      <c r="E258" s="33"/>
      <c r="F258" s="33"/>
      <c r="G258" s="33"/>
      <c r="H258" s="57"/>
      <c r="J258" s="169"/>
      <c r="K258" s="169"/>
      <c r="L258" s="169"/>
      <c r="M258" s="40"/>
      <c r="N258" s="40"/>
      <c r="O258" s="259"/>
      <c r="Q258" s="45"/>
      <c r="R258" s="98"/>
      <c r="S258" s="98"/>
      <c r="T258" s="35"/>
      <c r="U258" s="35"/>
      <c r="V258" s="177"/>
      <c r="W258" s="177"/>
      <c r="X258" s="59"/>
      <c r="Y258" s="35"/>
      <c r="Z258" s="59"/>
      <c r="AA258" s="178"/>
      <c r="AB258" s="59"/>
      <c r="AC258" s="59"/>
      <c r="AD258" s="59"/>
      <c r="AE258" s="59"/>
      <c r="AF258" s="178"/>
      <c r="AG258" s="59"/>
      <c r="AH258" s="35"/>
      <c r="AI258" s="35"/>
      <c r="AJ258" s="35"/>
      <c r="AK258" s="104"/>
      <c r="AL258" s="35"/>
      <c r="AM258" s="35"/>
      <c r="AN258" s="36"/>
      <c r="AO258" s="36"/>
      <c r="AP258" s="36"/>
      <c r="AQ258" s="36"/>
      <c r="AR258" s="36"/>
      <c r="AS258" s="36"/>
      <c r="AT258" s="36"/>
      <c r="AU258" s="36"/>
      <c r="AV258" s="36"/>
      <c r="AW258" s="36"/>
      <c r="AX258" s="36"/>
      <c r="AY258" s="36"/>
      <c r="AZ258" s="36"/>
      <c r="BA258" s="36"/>
      <c r="BB258" s="36"/>
      <c r="BC258" s="36"/>
      <c r="BD258" s="36"/>
      <c r="BE258" s="36"/>
    </row>
    <row r="259" spans="2:57" s="30" customFormat="1" ht="15" x14ac:dyDescent="0.2">
      <c r="B259" s="44" t="s">
        <v>498</v>
      </c>
      <c r="C259" s="152"/>
      <c r="D259" s="81" t="s">
        <v>164</v>
      </c>
      <c r="G259" s="33"/>
      <c r="H259" s="81"/>
      <c r="I259" s="51"/>
      <c r="J259" s="51"/>
      <c r="K259" s="33"/>
      <c r="L259" s="33"/>
      <c r="M259" s="81"/>
      <c r="N259" s="81"/>
      <c r="O259" s="96"/>
      <c r="P259" s="51"/>
      <c r="Q259" s="50"/>
      <c r="R259" s="35"/>
      <c r="S259" s="35"/>
      <c r="T259" s="35"/>
      <c r="U259" s="35"/>
      <c r="V259" s="35"/>
      <c r="W259" s="35"/>
      <c r="X259" s="35"/>
      <c r="Y259" s="35"/>
      <c r="Z259" s="35"/>
      <c r="AA259" s="35"/>
      <c r="AB259" s="35"/>
      <c r="AC259" s="35"/>
      <c r="AD259" s="35"/>
      <c r="AE259" s="35"/>
      <c r="AF259" s="35"/>
      <c r="AG259" s="35"/>
      <c r="AH259" s="35"/>
      <c r="AI259" s="35"/>
      <c r="AJ259" s="35"/>
      <c r="AK259" s="104"/>
      <c r="AL259" s="35"/>
      <c r="AM259" s="35"/>
      <c r="AN259" s="36"/>
      <c r="AO259" s="36"/>
      <c r="AP259" s="36"/>
      <c r="AQ259" s="36"/>
      <c r="AR259" s="36"/>
      <c r="AS259" s="36"/>
      <c r="AT259" s="36"/>
      <c r="AU259" s="36"/>
      <c r="AV259" s="36"/>
      <c r="AW259" s="36"/>
      <c r="AX259" s="36"/>
      <c r="AY259" s="36"/>
      <c r="AZ259" s="36"/>
      <c r="BA259" s="36"/>
      <c r="BB259" s="36"/>
      <c r="BC259" s="36"/>
      <c r="BD259" s="36"/>
      <c r="BE259" s="36"/>
    </row>
    <row r="260" spans="2:57" s="30" customFormat="1" ht="15" x14ac:dyDescent="0.2">
      <c r="B260" s="151" t="s">
        <v>4</v>
      </c>
      <c r="C260" s="33"/>
      <c r="D260" s="81"/>
      <c r="G260" s="33"/>
      <c r="H260" s="81"/>
      <c r="J260" s="32"/>
      <c r="K260" s="37" t="s">
        <v>297</v>
      </c>
      <c r="L260" s="37" t="s">
        <v>185</v>
      </c>
      <c r="M260" s="81"/>
      <c r="N260" s="81"/>
      <c r="O260" s="96"/>
      <c r="P260" s="33"/>
      <c r="Q260" s="34"/>
      <c r="R260" s="35" t="s">
        <v>318</v>
      </c>
      <c r="S260" s="35"/>
      <c r="T260" s="35" t="s">
        <v>400</v>
      </c>
      <c r="U260" s="35" t="s">
        <v>399</v>
      </c>
      <c r="V260" s="35" t="s">
        <v>397</v>
      </c>
      <c r="W260" s="35" t="s">
        <v>398</v>
      </c>
      <c r="X260" s="35" t="s">
        <v>401</v>
      </c>
      <c r="Y260" s="35" t="s">
        <v>403</v>
      </c>
      <c r="Z260" s="35" t="s">
        <v>402</v>
      </c>
      <c r="AA260" s="35" t="s">
        <v>186</v>
      </c>
      <c r="AB260" s="35" t="s">
        <v>345</v>
      </c>
      <c r="AC260" s="35" t="s">
        <v>404</v>
      </c>
      <c r="AD260" s="35" t="s">
        <v>346</v>
      </c>
      <c r="AE260" s="35" t="s">
        <v>405</v>
      </c>
      <c r="AF260" s="35" t="s">
        <v>406</v>
      </c>
      <c r="AG260" s="35" t="s">
        <v>578</v>
      </c>
      <c r="AH260" s="35" t="s">
        <v>190</v>
      </c>
      <c r="AI260" s="35" t="s">
        <v>249</v>
      </c>
      <c r="AJ260" s="35" t="s">
        <v>191</v>
      </c>
      <c r="AK260" s="104"/>
      <c r="AL260" s="35"/>
      <c r="AM260" s="35"/>
      <c r="AN260" s="36"/>
      <c r="AO260" s="36"/>
      <c r="AP260" s="36"/>
      <c r="AQ260" s="36"/>
      <c r="AR260" s="36"/>
      <c r="AS260" s="36"/>
      <c r="AT260" s="36"/>
      <c r="AU260" s="36"/>
      <c r="AV260" s="36"/>
      <c r="AW260" s="36"/>
      <c r="AX260" s="36"/>
      <c r="AY260" s="36"/>
      <c r="AZ260" s="36"/>
      <c r="BA260" s="36"/>
      <c r="BB260" s="36"/>
      <c r="BC260" s="36"/>
      <c r="BD260" s="36"/>
      <c r="BE260" s="36"/>
    </row>
    <row r="261" spans="2:57" s="30" customFormat="1" ht="30" x14ac:dyDescent="0.2">
      <c r="B261" s="166" t="s">
        <v>501</v>
      </c>
      <c r="C261" s="385"/>
      <c r="D261" s="86" t="s">
        <v>52</v>
      </c>
      <c r="E261" s="57"/>
      <c r="F261" s="55"/>
      <c r="G261" s="157"/>
      <c r="H261" s="81" t="str">
        <f>IF(D261="t","","t/m3")</f>
        <v/>
      </c>
      <c r="J261" s="169" t="s">
        <v>395</v>
      </c>
      <c r="K261" s="92" t="str">
        <f>IFERROR(IF(ISNUMBER(L261),L261,(VLOOKUP(C262,Kalusto!$C$45:$G$84,5,FALSE)*VLOOKUP(C263,Muut!$D$40:$E$43,2,FALSE))),"--")</f>
        <v>--</v>
      </c>
      <c r="L261" s="39"/>
      <c r="M261" s="40" t="s">
        <v>184</v>
      </c>
      <c r="N261" s="40"/>
      <c r="O261" s="259"/>
      <c r="Q261" s="45"/>
      <c r="R261" s="48" t="str">
        <f>IF(AND(NOT(ISNUMBER(AB261)),NOT(ISNUMBER(AG261))),"",IF(ISNUMBER(AB261),AB261,0)+IF(ISNUMBER(AG261),AG261,0))</f>
        <v/>
      </c>
      <c r="S261" s="98" t="s">
        <v>160</v>
      </c>
      <c r="T261" s="46" t="str">
        <f>IFERROR(IF(ISNUMBER(L261),"Kohdetieto",VLOOKUP(C262,Kalusto!$C$45:$L$84,7,FALSE)),"--")</f>
        <v>--</v>
      </c>
      <c r="U261" s="46" t="str">
        <f>IFERROR(IF(ISNUMBER(L261),"Kohdetieto",VLOOKUP(C262,Kalusto!$C$45:$L$84,8,FALSE)),"--")</f>
        <v>--</v>
      </c>
      <c r="V261" s="47" t="str">
        <f>IFERROR(IF(ISNUMBER(L261),"Kohdetieto",VLOOKUP(C262,Kalusto!$C$45:$L$84,9,FALSE)),"--")</f>
        <v>--</v>
      </c>
      <c r="W261" s="47" t="str">
        <f>IFERROR(IF(ISNUMBER(L261),"Kohdetieto",VLOOKUP(C262,Kalusto!$C$45:$L$84,10,FALSE)),"--")</f>
        <v>--</v>
      </c>
      <c r="X261" s="48" t="str">
        <f>IF(ISBLANK(C261),"",IF(D261="t",C261,C261*G261))</f>
        <v/>
      </c>
      <c r="Y261" s="46" t="str">
        <f>IF(ISNUMBER(C264),C264,"")</f>
        <v/>
      </c>
      <c r="Z261" s="48" t="str">
        <f>IF(ISNUMBER(X261/(U261*V261)*Y261),X261/(U261*V261)*Y261,"")</f>
        <v/>
      </c>
      <c r="AA261" s="49" t="str">
        <f>IF(ISNUMBER(L261),L261,K261)</f>
        <v>--</v>
      </c>
      <c r="AB261" s="48" t="str">
        <f>IF(ISNUMBER(Y261*X261*K261),Y261*X261*K261,"")</f>
        <v/>
      </c>
      <c r="AC261" s="48" t="str">
        <f>IF(ISNUMBER(Y261),Y261,"")</f>
        <v/>
      </c>
      <c r="AD261" s="48" t="str">
        <f>IF(ISNUMBER(X261),IF(ISNUMBER(X261/(U261*V261)),CEILING(X261/(U261*V261),1),""),"")</f>
        <v/>
      </c>
      <c r="AE261" s="48" t="str">
        <f>IF(ISNUMBER(AD261*AC261),AD261*AC261,"")</f>
        <v/>
      </c>
      <c r="AF261" s="49" t="str">
        <f>IF(ISNUMBER(L262),L262,K262)</f>
        <v>--</v>
      </c>
      <c r="AG261" s="48" t="str">
        <f>IF(ISNUMBER(AC261*AD261*K262),AC261*AD261*K262,"")</f>
        <v/>
      </c>
      <c r="AH261" s="46">
        <f>IF(T261="Jakelukuorma-auto",0,IF(T261="Maansiirtoauto",4,IF(T261="Puoliperävaunu",6,8)))</f>
        <v>8</v>
      </c>
      <c r="AI261" s="46">
        <f>IF(AND(T261="Jakelukuorma-auto",U261=6),0,IF(AND(T261="Jakelukuorma-auto",U261=15),2,0))</f>
        <v>0</v>
      </c>
      <c r="AJ261" s="46">
        <f>IF(W261="maantieajo",0,1)</f>
        <v>1</v>
      </c>
      <c r="AK261" s="104"/>
      <c r="AL261" s="35"/>
      <c r="AM261" s="35"/>
      <c r="AN261" s="36"/>
      <c r="AO261" s="36"/>
      <c r="AP261" s="36"/>
      <c r="AQ261" s="36"/>
      <c r="AR261" s="36"/>
      <c r="AS261" s="36"/>
      <c r="AT261" s="36"/>
      <c r="AU261" s="36"/>
      <c r="AV261" s="36"/>
      <c r="AW261" s="36"/>
      <c r="AX261" s="36"/>
      <c r="AY261" s="36"/>
      <c r="AZ261" s="36"/>
      <c r="BA261" s="36"/>
      <c r="BB261" s="36"/>
      <c r="BC261" s="36"/>
      <c r="BD261" s="36"/>
      <c r="BE261" s="36"/>
    </row>
    <row r="262" spans="2:57" s="30" customFormat="1" ht="30" x14ac:dyDescent="0.2">
      <c r="B262" s="166" t="s">
        <v>499</v>
      </c>
      <c r="C262" s="471" t="s">
        <v>298</v>
      </c>
      <c r="D262" s="472"/>
      <c r="E262" s="472"/>
      <c r="F262" s="472"/>
      <c r="G262" s="473"/>
      <c r="I262" s="57"/>
      <c r="J262" s="32" t="s">
        <v>396</v>
      </c>
      <c r="K262" s="92" t="str">
        <f>IFERROR(IF(ISNUMBER(L262),L262,(VLOOKUP(C262,Kalusto!$C$45:$V$84,19,FALSE)*(VLOOKUP(C263,Muut!$D$40:$E$43,2,FALSE)))),"--")</f>
        <v>--</v>
      </c>
      <c r="L262" s="39"/>
      <c r="M262" s="40" t="s">
        <v>188</v>
      </c>
      <c r="N262" s="40"/>
      <c r="O262" s="259"/>
      <c r="P262" s="33"/>
      <c r="Q262" s="50"/>
      <c r="R262" s="95"/>
      <c r="S262" s="35"/>
      <c r="T262" s="35"/>
      <c r="U262" s="35"/>
      <c r="V262" s="35"/>
      <c r="W262" s="35"/>
      <c r="X262" s="35"/>
      <c r="Y262" s="35"/>
      <c r="Z262" s="35"/>
      <c r="AA262" s="35"/>
      <c r="AB262" s="35"/>
      <c r="AC262" s="35"/>
      <c r="AD262" s="35"/>
      <c r="AE262" s="35"/>
      <c r="AF262" s="35"/>
      <c r="AG262" s="35"/>
      <c r="AH262" s="35"/>
      <c r="AI262" s="35"/>
      <c r="AJ262" s="35"/>
      <c r="AK262" s="35"/>
      <c r="AL262" s="35"/>
      <c r="AM262" s="35"/>
      <c r="AN262" s="36"/>
      <c r="AO262" s="36"/>
      <c r="AP262" s="36"/>
      <c r="AQ262" s="36"/>
      <c r="AR262" s="36"/>
      <c r="AS262" s="36"/>
      <c r="AT262" s="36"/>
      <c r="AU262" s="36"/>
      <c r="AV262" s="36"/>
      <c r="AW262" s="36"/>
      <c r="AX262" s="36"/>
      <c r="AY262" s="36"/>
      <c r="AZ262" s="36"/>
      <c r="BA262" s="36"/>
      <c r="BB262" s="36"/>
      <c r="BC262" s="36"/>
      <c r="BD262" s="36"/>
      <c r="BE262" s="36"/>
    </row>
    <row r="263" spans="2:57" s="30" customFormat="1" ht="15" x14ac:dyDescent="0.2">
      <c r="B263" s="182" t="s">
        <v>457</v>
      </c>
      <c r="C263" s="156" t="s">
        <v>309</v>
      </c>
      <c r="D263" s="33"/>
      <c r="E263" s="33"/>
      <c r="F263" s="33"/>
      <c r="G263" s="33"/>
      <c r="H263" s="57"/>
      <c r="J263" s="169"/>
      <c r="K263" s="169"/>
      <c r="L263" s="169"/>
      <c r="M263" s="40"/>
      <c r="N263" s="40"/>
      <c r="O263" s="259"/>
      <c r="Q263" s="45"/>
      <c r="R263" s="98"/>
      <c r="S263" s="98"/>
      <c r="T263" s="35"/>
      <c r="U263" s="35"/>
      <c r="V263" s="177"/>
      <c r="W263" s="177"/>
      <c r="X263" s="59"/>
      <c r="Y263" s="35"/>
      <c r="Z263" s="59"/>
      <c r="AA263" s="178"/>
      <c r="AB263" s="59"/>
      <c r="AC263" s="59"/>
      <c r="AD263" s="59"/>
      <c r="AE263" s="59"/>
      <c r="AF263" s="178"/>
      <c r="AG263" s="59"/>
      <c r="AH263" s="35"/>
      <c r="AI263" s="35"/>
      <c r="AJ263" s="35"/>
      <c r="AK263" s="104"/>
      <c r="AL263" s="35"/>
      <c r="AM263" s="35"/>
      <c r="AN263" s="36"/>
      <c r="AO263" s="36"/>
      <c r="AP263" s="36"/>
      <c r="AQ263" s="36"/>
      <c r="AR263" s="36"/>
      <c r="AS263" s="36"/>
      <c r="AT263" s="36"/>
      <c r="AU263" s="36"/>
      <c r="AV263" s="36"/>
      <c r="AW263" s="36"/>
      <c r="AX263" s="36"/>
      <c r="AY263" s="36"/>
      <c r="AZ263" s="36"/>
      <c r="BA263" s="36"/>
      <c r="BB263" s="36"/>
      <c r="BC263" s="36"/>
      <c r="BD263" s="36"/>
      <c r="BE263" s="36"/>
    </row>
    <row r="264" spans="2:57" s="30" customFormat="1" ht="15" x14ac:dyDescent="0.2">
      <c r="B264" s="44" t="s">
        <v>498</v>
      </c>
      <c r="C264" s="386"/>
      <c r="D264" s="81" t="s">
        <v>5</v>
      </c>
      <c r="G264" s="33"/>
      <c r="H264" s="81"/>
      <c r="I264" s="51"/>
      <c r="J264" s="51"/>
      <c r="K264" s="33"/>
      <c r="L264" s="33"/>
      <c r="M264" s="81"/>
      <c r="N264" s="81"/>
      <c r="O264" s="96"/>
      <c r="P264" s="51"/>
      <c r="Q264" s="50"/>
      <c r="R264" s="95"/>
      <c r="S264" s="35"/>
      <c r="T264" s="35"/>
      <c r="U264" s="35"/>
      <c r="V264" s="35"/>
      <c r="W264" s="35"/>
      <c r="X264" s="35"/>
      <c r="Y264" s="35"/>
      <c r="Z264" s="35"/>
      <c r="AA264" s="35"/>
      <c r="AB264" s="35"/>
      <c r="AC264" s="35"/>
      <c r="AD264" s="35"/>
      <c r="AE264" s="35"/>
      <c r="AF264" s="35"/>
      <c r="AG264" s="35"/>
      <c r="AH264" s="35"/>
      <c r="AI264" s="35"/>
      <c r="AJ264" s="35"/>
      <c r="AK264" s="35"/>
      <c r="AL264" s="35"/>
      <c r="AM264" s="35"/>
      <c r="AN264" s="36"/>
      <c r="AO264" s="36"/>
      <c r="AP264" s="36"/>
      <c r="AQ264" s="36"/>
      <c r="AR264" s="36"/>
      <c r="AS264" s="36"/>
      <c r="AT264" s="36"/>
      <c r="AU264" s="36"/>
      <c r="AV264" s="36"/>
      <c r="AW264" s="36"/>
      <c r="AX264" s="36"/>
      <c r="AY264" s="36"/>
      <c r="AZ264" s="36"/>
      <c r="BA264" s="36"/>
      <c r="BB264" s="36"/>
      <c r="BC264" s="36"/>
      <c r="BD264" s="36"/>
      <c r="BE264" s="36"/>
    </row>
    <row r="265" spans="2:57" s="30" customFormat="1" ht="15" x14ac:dyDescent="0.2">
      <c r="B265" s="52"/>
      <c r="C265" s="33"/>
      <c r="D265" s="57"/>
      <c r="E265" s="56"/>
      <c r="F265" s="56"/>
      <c r="G265" s="33"/>
      <c r="H265" s="81"/>
      <c r="J265" s="32"/>
      <c r="K265" s="33"/>
      <c r="L265" s="33"/>
      <c r="M265" s="81"/>
      <c r="N265" s="81"/>
      <c r="O265" s="96"/>
      <c r="Q265" s="34"/>
      <c r="R265" s="95"/>
      <c r="S265" s="35"/>
      <c r="T265" s="35"/>
      <c r="U265" s="35"/>
      <c r="V265" s="35"/>
      <c r="W265" s="35"/>
      <c r="X265" s="35"/>
      <c r="Y265" s="35"/>
      <c r="Z265" s="35"/>
      <c r="AA265" s="35"/>
      <c r="AB265" s="35"/>
      <c r="AC265" s="35"/>
      <c r="AD265" s="35"/>
      <c r="AE265" s="35"/>
      <c r="AF265" s="35"/>
      <c r="AG265" s="35"/>
      <c r="AH265" s="35"/>
      <c r="AI265" s="35"/>
      <c r="AJ265" s="35"/>
      <c r="AK265" s="35"/>
      <c r="AL265" s="35"/>
      <c r="AM265" s="35"/>
      <c r="AN265" s="36"/>
      <c r="AO265" s="36"/>
      <c r="AP265" s="36"/>
      <c r="AQ265" s="36"/>
      <c r="AR265" s="36"/>
      <c r="AS265" s="36"/>
      <c r="AT265" s="36"/>
      <c r="AU265" s="36"/>
      <c r="AV265" s="36"/>
      <c r="AW265" s="36"/>
      <c r="AX265" s="36"/>
      <c r="AY265" s="36"/>
      <c r="AZ265" s="36"/>
      <c r="BA265" s="36"/>
      <c r="BB265" s="36"/>
      <c r="BC265" s="36"/>
      <c r="BD265" s="36"/>
      <c r="BE265" s="36"/>
    </row>
    <row r="266" spans="2:57" s="30" customFormat="1" ht="15" x14ac:dyDescent="0.2">
      <c r="B266" s="173" t="s">
        <v>502</v>
      </c>
      <c r="C266" s="33"/>
      <c r="D266" s="57"/>
      <c r="E266" s="56"/>
      <c r="F266" s="56"/>
      <c r="G266" s="33"/>
      <c r="H266" s="81"/>
      <c r="J266" s="32"/>
      <c r="K266" s="33"/>
      <c r="L266" s="33"/>
      <c r="M266" s="81"/>
      <c r="N266" s="81"/>
      <c r="O266" s="96"/>
      <c r="Q266" s="34"/>
      <c r="R266" s="95"/>
      <c r="S266" s="35"/>
      <c r="T266" s="35"/>
      <c r="U266" s="35"/>
      <c r="V266" s="35"/>
      <c r="W266" s="35"/>
      <c r="X266" s="35"/>
      <c r="Y266" s="35"/>
      <c r="Z266" s="35"/>
      <c r="AA266" s="35"/>
      <c r="AB266" s="35"/>
      <c r="AC266" s="35"/>
      <c r="AD266" s="35"/>
      <c r="AE266" s="35"/>
      <c r="AF266" s="35"/>
      <c r="AG266" s="35"/>
      <c r="AH266" s="35"/>
      <c r="AI266" s="35"/>
      <c r="AJ266" s="35"/>
      <c r="AK266" s="35"/>
      <c r="AL266" s="35"/>
      <c r="AM266" s="35"/>
      <c r="AN266" s="36"/>
      <c r="AO266" s="36"/>
      <c r="AP266" s="36"/>
      <c r="AQ266" s="36"/>
      <c r="AR266" s="36"/>
      <c r="AS266" s="36"/>
      <c r="AT266" s="36"/>
      <c r="AU266" s="36"/>
      <c r="AV266" s="36"/>
      <c r="AW266" s="36"/>
      <c r="AX266" s="36"/>
      <c r="AY266" s="36"/>
      <c r="AZ266" s="36"/>
      <c r="BA266" s="36"/>
      <c r="BB266" s="36"/>
      <c r="BC266" s="36"/>
      <c r="BD266" s="36"/>
      <c r="BE266" s="36"/>
    </row>
    <row r="267" spans="2:57" s="30" customFormat="1" ht="15" x14ac:dyDescent="0.2">
      <c r="B267" s="52"/>
      <c r="C267" s="33"/>
      <c r="D267" s="57"/>
      <c r="E267" s="56"/>
      <c r="F267" s="56"/>
      <c r="G267" s="33"/>
      <c r="H267" s="81"/>
      <c r="J267" s="32"/>
      <c r="K267" s="33"/>
      <c r="L267" s="33"/>
      <c r="M267" s="81"/>
      <c r="N267" s="81"/>
      <c r="O267" s="81"/>
      <c r="Q267" s="34"/>
      <c r="R267" s="95"/>
      <c r="S267" s="35"/>
      <c r="T267" s="35"/>
      <c r="U267" s="35"/>
      <c r="V267" s="35"/>
      <c r="W267" s="35"/>
      <c r="X267" s="35"/>
      <c r="Y267" s="35"/>
      <c r="Z267" s="35"/>
      <c r="AA267" s="35"/>
      <c r="AB267" s="35"/>
      <c r="AC267" s="35"/>
      <c r="AD267" s="35"/>
      <c r="AE267" s="35"/>
      <c r="AF267" s="35"/>
      <c r="AG267" s="35"/>
      <c r="AH267" s="35"/>
      <c r="AI267" s="35"/>
      <c r="AJ267" s="35"/>
      <c r="AK267" s="35"/>
      <c r="AL267" s="35"/>
      <c r="AM267" s="35"/>
      <c r="AN267" s="36"/>
      <c r="AO267" s="36"/>
      <c r="AP267" s="36"/>
      <c r="AQ267" s="36"/>
      <c r="AR267" s="36"/>
      <c r="AS267" s="36"/>
      <c r="AT267" s="36"/>
      <c r="AU267" s="36"/>
      <c r="AV267" s="36"/>
      <c r="AW267" s="36"/>
      <c r="AX267" s="36"/>
      <c r="AY267" s="36"/>
      <c r="AZ267" s="36"/>
      <c r="BA267" s="36"/>
      <c r="BB267" s="36"/>
      <c r="BC267" s="36"/>
      <c r="BD267" s="36"/>
      <c r="BE267" s="36"/>
    </row>
    <row r="268" spans="2:57" s="289" customFormat="1" ht="18" x14ac:dyDescent="0.2">
      <c r="B268" s="286" t="s">
        <v>41</v>
      </c>
      <c r="C268" s="287"/>
      <c r="D268" s="288"/>
      <c r="G268" s="287"/>
      <c r="H268" s="288"/>
      <c r="K268" s="287"/>
      <c r="L268" s="287"/>
      <c r="M268" s="288"/>
      <c r="N268" s="288"/>
      <c r="O268" s="291"/>
      <c r="P268" s="311"/>
      <c r="Q268" s="295"/>
      <c r="S268" s="294"/>
      <c r="T268" s="294"/>
      <c r="U268" s="294"/>
      <c r="V268" s="294"/>
      <c r="W268" s="294"/>
      <c r="X268" s="294"/>
      <c r="Y268" s="294"/>
      <c r="Z268" s="294"/>
      <c r="AA268" s="294"/>
      <c r="AB268" s="294"/>
      <c r="AC268" s="294"/>
      <c r="AD268" s="294"/>
      <c r="AE268" s="294"/>
      <c r="AF268" s="294"/>
      <c r="AG268" s="294"/>
      <c r="AH268" s="294"/>
      <c r="AI268" s="294"/>
      <c r="AJ268" s="294"/>
      <c r="AK268" s="294"/>
      <c r="AL268" s="294"/>
      <c r="AM268" s="294"/>
      <c r="AN268" s="295"/>
      <c r="AO268" s="295"/>
      <c r="AP268" s="295"/>
      <c r="AQ268" s="295"/>
      <c r="AR268" s="295"/>
      <c r="AS268" s="295"/>
      <c r="AT268" s="295"/>
      <c r="AU268" s="295"/>
      <c r="AV268" s="295"/>
      <c r="AW268" s="295"/>
      <c r="AX268" s="295"/>
      <c r="AY268" s="295"/>
      <c r="AZ268" s="295"/>
      <c r="BA268" s="295"/>
      <c r="BB268" s="295"/>
      <c r="BC268" s="295"/>
      <c r="BD268" s="295"/>
      <c r="BE268" s="295"/>
    </row>
    <row r="269" spans="2:57" s="30" customFormat="1" ht="15.75" x14ac:dyDescent="0.2">
      <c r="B269" s="8"/>
      <c r="C269" s="33"/>
      <c r="D269" s="81"/>
      <c r="G269" s="33"/>
      <c r="H269" s="81"/>
      <c r="J269" s="32"/>
      <c r="K269" s="33"/>
      <c r="L269" s="33"/>
      <c r="M269" s="81"/>
      <c r="N269" s="81"/>
      <c r="O269" s="81"/>
      <c r="Q269" s="34"/>
      <c r="R269" s="95"/>
      <c r="S269" s="35"/>
      <c r="T269" s="35"/>
      <c r="U269" s="35"/>
      <c r="V269" s="35"/>
      <c r="W269" s="35"/>
      <c r="X269" s="35"/>
      <c r="Y269" s="35"/>
      <c r="Z269" s="35"/>
      <c r="AA269" s="35"/>
      <c r="AB269" s="35"/>
      <c r="AC269" s="35"/>
      <c r="AD269" s="35"/>
      <c r="AE269" s="35"/>
      <c r="AF269" s="35"/>
      <c r="AG269" s="35"/>
      <c r="AH269" s="35"/>
      <c r="AI269" s="35"/>
      <c r="AJ269" s="35"/>
      <c r="AK269" s="35"/>
      <c r="AL269" s="35"/>
      <c r="AM269" s="35"/>
      <c r="AN269" s="36"/>
      <c r="AO269" s="36"/>
      <c r="AP269" s="36"/>
      <c r="AQ269" s="36"/>
      <c r="AR269" s="36"/>
      <c r="AS269" s="36"/>
      <c r="AT269" s="36"/>
      <c r="AU269" s="36"/>
      <c r="AV269" s="36"/>
      <c r="AW269" s="36"/>
      <c r="AX269" s="36"/>
      <c r="AY269" s="36"/>
      <c r="AZ269" s="36"/>
      <c r="BA269" s="36"/>
      <c r="BB269" s="36"/>
      <c r="BC269" s="36"/>
      <c r="BD269" s="36"/>
      <c r="BE269" s="36"/>
    </row>
    <row r="270" spans="2:57" s="30" customFormat="1" ht="15.75" x14ac:dyDescent="0.2">
      <c r="B270" s="8" t="s">
        <v>545</v>
      </c>
      <c r="C270" s="33"/>
      <c r="D270" s="81"/>
      <c r="G270" s="33"/>
      <c r="H270" s="81"/>
      <c r="J270" s="32"/>
      <c r="K270" s="37"/>
      <c r="L270" s="37"/>
      <c r="M270" s="81"/>
      <c r="N270" s="81"/>
      <c r="O270" s="249" t="s">
        <v>584</v>
      </c>
      <c r="Q270" s="34"/>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6"/>
      <c r="AO270" s="36"/>
      <c r="AP270" s="36"/>
      <c r="AQ270" s="36"/>
      <c r="AR270" s="36"/>
      <c r="AS270" s="36"/>
      <c r="AT270" s="36"/>
      <c r="AU270" s="36"/>
      <c r="AV270" s="36"/>
      <c r="AW270" s="36"/>
      <c r="AX270" s="36"/>
      <c r="AY270" s="36"/>
      <c r="AZ270" s="36"/>
      <c r="BA270" s="36"/>
      <c r="BB270" s="36"/>
      <c r="BC270" s="36"/>
      <c r="BD270" s="36"/>
      <c r="BE270" s="36"/>
    </row>
    <row r="271" spans="2:57" s="30" customFormat="1" ht="15.75" x14ac:dyDescent="0.2">
      <c r="B271" s="8"/>
      <c r="C271" s="33"/>
      <c r="D271" s="81"/>
      <c r="G271" s="33"/>
      <c r="H271" s="81"/>
      <c r="J271" s="32"/>
      <c r="K271" s="37" t="s">
        <v>297</v>
      </c>
      <c r="L271" s="37" t="s">
        <v>185</v>
      </c>
      <c r="M271" s="81"/>
      <c r="N271" s="81"/>
      <c r="O271" s="250"/>
      <c r="Q271" s="34"/>
      <c r="R271" s="35" t="s">
        <v>318</v>
      </c>
      <c r="S271" s="35"/>
      <c r="T271" s="35"/>
      <c r="U271" s="35"/>
      <c r="V271" s="35"/>
      <c r="W271" s="35"/>
      <c r="X271" s="35"/>
      <c r="Y271" s="35"/>
      <c r="Z271" s="35"/>
      <c r="AA271" s="35"/>
      <c r="AB271" s="35"/>
      <c r="AC271" s="35"/>
      <c r="AD271" s="35"/>
      <c r="AE271" s="35"/>
      <c r="AF271" s="35"/>
      <c r="AG271" s="35"/>
      <c r="AH271" s="35"/>
      <c r="AI271" s="35"/>
      <c r="AJ271" s="35"/>
      <c r="AK271" s="35"/>
      <c r="AL271" s="35"/>
      <c r="AM271" s="35"/>
      <c r="AN271" s="36"/>
      <c r="AO271" s="36"/>
      <c r="AP271" s="36"/>
      <c r="AQ271" s="36"/>
      <c r="AR271" s="36"/>
      <c r="AS271" s="36"/>
      <c r="AT271" s="36"/>
      <c r="AU271" s="36"/>
      <c r="AV271" s="36"/>
      <c r="AW271" s="36"/>
      <c r="AX271" s="36"/>
      <c r="AY271" s="36"/>
      <c r="AZ271" s="36"/>
      <c r="BA271" s="36"/>
      <c r="BB271" s="36"/>
      <c r="BC271" s="36"/>
      <c r="BD271" s="36"/>
      <c r="BE271" s="36"/>
    </row>
    <row r="272" spans="2:57" s="30" customFormat="1" ht="30" x14ac:dyDescent="0.2">
      <c r="B272" s="83" t="s">
        <v>500</v>
      </c>
      <c r="C272" s="156"/>
      <c r="D272" s="81" t="s">
        <v>163</v>
      </c>
      <c r="G272" s="33"/>
      <c r="H272" s="81"/>
      <c r="J272" s="32" t="s">
        <v>513</v>
      </c>
      <c r="K272" s="92">
        <f>IF(ISNUMBER(L272),L272,Muut!$F$29*IF(OR(C273=Pudotusvalikot!$V$3,C273=Pudotusvalikot!$V$4),Muut!$E$40,IF(C273=Pudotusvalikot!$V$5,Muut!$E$41,IF(C273=Pudotusvalikot!$V$6,Muut!$E$42,Muut!$E$43))))</f>
        <v>0.22753333333333334</v>
      </c>
      <c r="L272" s="61"/>
      <c r="M272" s="40" t="s">
        <v>207</v>
      </c>
      <c r="N272" s="40"/>
      <c r="O272" s="259"/>
      <c r="Q272" s="34"/>
      <c r="R272" s="105" t="str">
        <f>IF(AND(ISNUMBER(K272),ISNUMBER(C272)),K272*C272,"")</f>
        <v/>
      </c>
      <c r="S272" s="98" t="s">
        <v>160</v>
      </c>
      <c r="T272" s="59"/>
      <c r="U272" s="59"/>
      <c r="V272" s="59"/>
      <c r="W272" s="35"/>
      <c r="X272" s="35"/>
      <c r="Y272" s="35"/>
      <c r="Z272" s="35"/>
      <c r="AA272" s="35"/>
      <c r="AB272" s="35"/>
      <c r="AC272" s="35"/>
      <c r="AD272" s="35"/>
      <c r="AE272" s="35"/>
      <c r="AF272" s="35"/>
      <c r="AG272" s="35"/>
      <c r="AH272" s="35"/>
      <c r="AI272" s="35"/>
      <c r="AJ272" s="35"/>
      <c r="AK272" s="35"/>
      <c r="AL272" s="35"/>
      <c r="AM272" s="35"/>
      <c r="AN272" s="36"/>
      <c r="AO272" s="36"/>
      <c r="AP272" s="36"/>
      <c r="AQ272" s="36"/>
      <c r="AR272" s="36"/>
      <c r="AS272" s="36"/>
      <c r="AT272" s="36"/>
      <c r="AU272" s="36"/>
      <c r="AV272" s="36"/>
      <c r="AW272" s="36"/>
      <c r="AX272" s="36"/>
      <c r="AY272" s="36"/>
      <c r="AZ272" s="36"/>
      <c r="BA272" s="36"/>
      <c r="BB272" s="36"/>
      <c r="BC272" s="36"/>
      <c r="BD272" s="36"/>
      <c r="BE272" s="36"/>
    </row>
    <row r="273" spans="2:57" s="30" customFormat="1" ht="15" x14ac:dyDescent="0.2">
      <c r="B273" s="166" t="s">
        <v>460</v>
      </c>
      <c r="C273" s="156" t="s">
        <v>223</v>
      </c>
      <c r="D273" s="33"/>
      <c r="E273" s="33"/>
      <c r="F273" s="33"/>
      <c r="G273" s="33"/>
      <c r="H273" s="33"/>
      <c r="I273" s="33"/>
      <c r="J273" s="169"/>
      <c r="K273" s="169"/>
      <c r="L273" s="169"/>
      <c r="M273" s="40"/>
      <c r="N273" s="40"/>
      <c r="O273" s="259"/>
      <c r="Q273" s="45"/>
      <c r="R273" s="59"/>
      <c r="S273" s="98"/>
      <c r="T273" s="35"/>
      <c r="U273" s="35"/>
      <c r="V273" s="177"/>
      <c r="W273" s="177"/>
      <c r="X273" s="59"/>
      <c r="Y273" s="35"/>
      <c r="Z273" s="59"/>
      <c r="AA273" s="178"/>
      <c r="AB273" s="59"/>
      <c r="AC273" s="59"/>
      <c r="AD273" s="59"/>
      <c r="AE273" s="59"/>
      <c r="AF273" s="178"/>
      <c r="AG273" s="59"/>
      <c r="AH273" s="35"/>
      <c r="AI273" s="35"/>
      <c r="AJ273" s="35"/>
      <c r="AK273" s="104"/>
      <c r="AL273" s="35"/>
      <c r="AM273" s="35"/>
      <c r="AN273" s="36"/>
      <c r="AO273" s="36"/>
      <c r="AP273" s="36"/>
      <c r="AQ273" s="36"/>
      <c r="AR273" s="36"/>
      <c r="AS273" s="36"/>
      <c r="AT273" s="36"/>
      <c r="AU273" s="36"/>
      <c r="AV273" s="36"/>
      <c r="AW273" s="36"/>
      <c r="AX273" s="36"/>
      <c r="AY273" s="36"/>
      <c r="AZ273" s="36"/>
      <c r="BA273" s="36"/>
      <c r="BB273" s="36"/>
      <c r="BC273" s="36"/>
      <c r="BD273" s="36"/>
      <c r="BE273" s="36"/>
    </row>
    <row r="274" spans="2:57" s="30" customFormat="1" ht="45" x14ac:dyDescent="0.2">
      <c r="B274" s="83" t="s">
        <v>476</v>
      </c>
      <c r="F274" s="33"/>
      <c r="G274" s="33"/>
      <c r="H274" s="33"/>
      <c r="I274" s="33"/>
      <c r="K274" s="37" t="s">
        <v>297</v>
      </c>
      <c r="L274" s="37" t="s">
        <v>185</v>
      </c>
      <c r="M274" s="81"/>
      <c r="N274" s="81"/>
      <c r="O274" s="96"/>
      <c r="Q274" s="34"/>
      <c r="R274" s="35" t="s">
        <v>318</v>
      </c>
      <c r="S274" s="104"/>
      <c r="T274" s="35"/>
      <c r="U274" s="35"/>
      <c r="V274" s="35"/>
      <c r="W274" s="35"/>
      <c r="X274" s="35"/>
      <c r="Y274" s="35"/>
      <c r="Z274" s="35"/>
      <c r="AA274" s="35"/>
      <c r="AB274" s="35"/>
      <c r="AC274" s="35"/>
      <c r="AD274" s="35"/>
      <c r="AE274" s="35"/>
      <c r="AF274" s="35"/>
      <c r="AG274" s="35"/>
      <c r="AH274" s="35"/>
      <c r="AI274" s="35"/>
      <c r="AJ274" s="35"/>
      <c r="AK274" s="35"/>
      <c r="AL274" s="35"/>
      <c r="AM274" s="35"/>
      <c r="AN274" s="36"/>
      <c r="AO274" s="36"/>
      <c r="AP274" s="36"/>
      <c r="AQ274" s="36"/>
      <c r="AR274" s="36"/>
      <c r="AS274" s="36"/>
      <c r="AT274" s="36"/>
      <c r="AU274" s="36"/>
      <c r="AV274" s="36"/>
      <c r="AW274" s="36"/>
      <c r="AX274" s="36"/>
      <c r="AY274" s="36"/>
      <c r="AZ274" s="36"/>
      <c r="BA274" s="36"/>
      <c r="BB274" s="36"/>
      <c r="BC274" s="36"/>
      <c r="BD274" s="36"/>
      <c r="BE274" s="36"/>
    </row>
    <row r="275" spans="2:57" s="30" customFormat="1" ht="15" x14ac:dyDescent="0.2">
      <c r="B275" s="132" t="s">
        <v>503</v>
      </c>
      <c r="C275" s="64"/>
      <c r="D275" s="81" t="s">
        <v>52</v>
      </c>
      <c r="G275" s="33"/>
      <c r="H275" s="81"/>
      <c r="J275" s="32" t="s">
        <v>347</v>
      </c>
      <c r="K275" s="134">
        <f>IF(ISNUMBER(L275),L275,Muut!$F$31)</f>
        <v>33.857142857142854</v>
      </c>
      <c r="L275" s="61"/>
      <c r="M275" s="40" t="s">
        <v>248</v>
      </c>
      <c r="N275" s="40"/>
      <c r="O275" s="259"/>
      <c r="Q275" s="34"/>
      <c r="R275" s="105" t="str">
        <f>IF(AND(ISNUMBER(K275),ISNUMBER(C275)),K275*C275,"")</f>
        <v/>
      </c>
      <c r="S275" s="98" t="s">
        <v>160</v>
      </c>
      <c r="T275" s="35"/>
      <c r="U275" s="35"/>
      <c r="V275" s="35"/>
      <c r="W275" s="35"/>
      <c r="X275" s="35"/>
      <c r="Y275" s="35"/>
      <c r="Z275" s="35"/>
      <c r="AA275" s="35"/>
      <c r="AB275" s="35"/>
      <c r="AC275" s="35"/>
      <c r="AD275" s="35"/>
      <c r="AE275" s="35"/>
      <c r="AF275" s="35"/>
      <c r="AG275" s="35"/>
      <c r="AH275" s="35"/>
      <c r="AI275" s="35"/>
      <c r="AJ275" s="35"/>
      <c r="AK275" s="35"/>
      <c r="AL275" s="35"/>
      <c r="AM275" s="35"/>
      <c r="AN275" s="36"/>
      <c r="AO275" s="36"/>
      <c r="AP275" s="36"/>
      <c r="AQ275" s="36"/>
      <c r="AR275" s="36"/>
      <c r="AS275" s="36"/>
      <c r="AT275" s="36"/>
      <c r="AU275" s="36"/>
      <c r="AV275" s="36"/>
      <c r="AW275" s="36"/>
      <c r="AX275" s="36"/>
      <c r="AY275" s="36"/>
      <c r="AZ275" s="36"/>
      <c r="BA275" s="36"/>
      <c r="BB275" s="36"/>
      <c r="BC275" s="36"/>
      <c r="BD275" s="36"/>
      <c r="BE275" s="36"/>
    </row>
    <row r="276" spans="2:57" s="30" customFormat="1" ht="15" customHeight="1" x14ac:dyDescent="0.2">
      <c r="B276" s="166" t="s">
        <v>518</v>
      </c>
      <c r="C276" s="150"/>
      <c r="D276" s="81" t="str">
        <f>IF(ISBLANK(C276),"%","")</f>
        <v>%</v>
      </c>
      <c r="E276" s="33"/>
      <c r="F276" s="33"/>
      <c r="G276" s="33"/>
      <c r="H276" s="81"/>
      <c r="J276" s="32" t="s">
        <v>508</v>
      </c>
      <c r="K276" s="92" t="str">
        <f>IF(ISNUMBER(L276),L276,"")</f>
        <v/>
      </c>
      <c r="L276" s="181"/>
      <c r="M276" s="40" t="s">
        <v>248</v>
      </c>
      <c r="N276" s="40"/>
      <c r="O276" s="259"/>
      <c r="Q276" s="34"/>
      <c r="R276" s="105" t="str">
        <f>IF(AND(ISNUMBER(K276),ISNUMBER(C276)),-K276*C276*C275,"")</f>
        <v/>
      </c>
      <c r="S276" s="98" t="s">
        <v>160</v>
      </c>
      <c r="T276" s="131" t="s">
        <v>348</v>
      </c>
      <c r="U276" s="35"/>
      <c r="V276" s="35"/>
      <c r="W276" s="35"/>
      <c r="X276" s="35"/>
      <c r="Y276" s="35"/>
      <c r="Z276" s="35"/>
      <c r="AA276" s="35"/>
      <c r="AB276" s="35"/>
      <c r="AC276" s="35"/>
      <c r="AD276" s="35"/>
      <c r="AE276" s="35"/>
      <c r="AF276" s="35"/>
      <c r="AG276" s="35"/>
      <c r="AH276" s="35"/>
      <c r="AI276" s="35"/>
      <c r="AJ276" s="35"/>
      <c r="AK276" s="35"/>
      <c r="AL276" s="35"/>
      <c r="AM276" s="35"/>
      <c r="AN276" s="36"/>
      <c r="AO276" s="36"/>
      <c r="AP276" s="36"/>
      <c r="AQ276" s="36"/>
      <c r="AR276" s="36"/>
      <c r="AS276" s="36"/>
      <c r="AT276" s="36"/>
      <c r="AU276" s="36"/>
      <c r="AV276" s="36"/>
      <c r="AW276" s="36"/>
      <c r="AX276" s="36"/>
      <c r="AY276" s="36"/>
      <c r="AZ276" s="36"/>
      <c r="BA276" s="36"/>
      <c r="BB276" s="36"/>
      <c r="BC276" s="36"/>
      <c r="BD276" s="36"/>
      <c r="BE276" s="36"/>
    </row>
    <row r="277" spans="2:57" s="30" customFormat="1" ht="15" x14ac:dyDescent="0.2">
      <c r="B277" s="166" t="s">
        <v>519</v>
      </c>
      <c r="C277" s="150"/>
      <c r="D277" s="81" t="str">
        <f>IF(ISBLANK(C277),"%","")</f>
        <v>%</v>
      </c>
      <c r="E277" s="33"/>
      <c r="F277" s="33"/>
      <c r="G277" s="33"/>
      <c r="H277" s="81"/>
      <c r="J277" s="32" t="s">
        <v>512</v>
      </c>
      <c r="K277" s="92" t="str">
        <f>IF(ISNUMBER(L277),L277,"")</f>
        <v/>
      </c>
      <c r="L277" s="181"/>
      <c r="M277" s="40" t="s">
        <v>248</v>
      </c>
      <c r="N277" s="40"/>
      <c r="O277" s="259"/>
      <c r="Q277" s="34"/>
      <c r="R277" s="105" t="str">
        <f>IF(AND(ISNUMBER(K277),ISNUMBER(C277)),-K277*C277*C275,"")</f>
        <v/>
      </c>
      <c r="S277" s="98" t="s">
        <v>160</v>
      </c>
      <c r="T277" s="131" t="s">
        <v>348</v>
      </c>
      <c r="U277" s="35"/>
      <c r="V277" s="35"/>
      <c r="W277" s="35"/>
      <c r="X277" s="35"/>
      <c r="Y277" s="35"/>
      <c r="Z277" s="35"/>
      <c r="AA277" s="35"/>
      <c r="AB277" s="35"/>
      <c r="AC277" s="35"/>
      <c r="AD277" s="35"/>
      <c r="AE277" s="35"/>
      <c r="AF277" s="35"/>
      <c r="AG277" s="35"/>
      <c r="AH277" s="35"/>
      <c r="AI277" s="35"/>
      <c r="AJ277" s="35"/>
      <c r="AK277" s="35"/>
      <c r="AL277" s="35"/>
      <c r="AM277" s="35"/>
      <c r="AN277" s="36"/>
      <c r="AO277" s="36"/>
      <c r="AP277" s="36"/>
      <c r="AQ277" s="36"/>
      <c r="AR277" s="36"/>
      <c r="AS277" s="36"/>
      <c r="AT277" s="36"/>
      <c r="AU277" s="36"/>
      <c r="AV277" s="36"/>
      <c r="AW277" s="36"/>
      <c r="AX277" s="36"/>
      <c r="AY277" s="36"/>
      <c r="AZ277" s="36"/>
      <c r="BA277" s="36"/>
      <c r="BB277" s="36"/>
      <c r="BC277" s="36"/>
      <c r="BD277" s="36"/>
      <c r="BE277" s="36"/>
    </row>
    <row r="278" spans="2:57" s="30" customFormat="1" ht="15" x14ac:dyDescent="0.2">
      <c r="B278" s="132" t="s">
        <v>504</v>
      </c>
      <c r="C278" s="64"/>
      <c r="D278" s="81" t="s">
        <v>52</v>
      </c>
      <c r="G278" s="33"/>
      <c r="H278" s="81"/>
      <c r="J278" s="32" t="s">
        <v>347</v>
      </c>
      <c r="K278" s="134">
        <f>IF(ISNUMBER(L278),L278,Muut!$F$31)</f>
        <v>33.857142857142854</v>
      </c>
      <c r="L278" s="61"/>
      <c r="M278" s="40" t="s">
        <v>248</v>
      </c>
      <c r="N278" s="40"/>
      <c r="O278" s="259"/>
      <c r="Q278" s="34"/>
      <c r="R278" s="105" t="str">
        <f>IF(AND(ISNUMBER(K278),ISNUMBER(C278)),K278*C278,"")</f>
        <v/>
      </c>
      <c r="S278" s="98" t="s">
        <v>160</v>
      </c>
      <c r="T278" s="35"/>
      <c r="U278" s="35"/>
      <c r="V278" s="35"/>
      <c r="W278" s="35"/>
      <c r="X278" s="35"/>
      <c r="Y278" s="35"/>
      <c r="Z278" s="35"/>
      <c r="AA278" s="35"/>
      <c r="AB278" s="35"/>
      <c r="AC278" s="35"/>
      <c r="AD278" s="35"/>
      <c r="AE278" s="35"/>
      <c r="AF278" s="35"/>
      <c r="AG278" s="35"/>
      <c r="AH278" s="35"/>
      <c r="AI278" s="35"/>
      <c r="AJ278" s="35"/>
      <c r="AK278" s="35"/>
      <c r="AL278" s="35"/>
      <c r="AM278" s="35"/>
      <c r="AN278" s="36"/>
      <c r="AO278" s="36"/>
      <c r="AP278" s="36"/>
      <c r="AQ278" s="36"/>
      <c r="AR278" s="36"/>
      <c r="AS278" s="36"/>
      <c r="AT278" s="36"/>
      <c r="AU278" s="36"/>
      <c r="AV278" s="36"/>
      <c r="AW278" s="36"/>
      <c r="AX278" s="36"/>
      <c r="AY278" s="36"/>
      <c r="AZ278" s="36"/>
      <c r="BA278" s="36"/>
      <c r="BB278" s="36"/>
      <c r="BC278" s="36"/>
      <c r="BD278" s="36"/>
      <c r="BE278" s="36"/>
    </row>
    <row r="279" spans="2:57" s="30" customFormat="1" ht="15" x14ac:dyDescent="0.2">
      <c r="B279" s="166" t="s">
        <v>520</v>
      </c>
      <c r="C279" s="150"/>
      <c r="D279" s="81" t="str">
        <f t="shared" ref="D279:D280" si="0">IF(ISBLANK(C279),"%","")</f>
        <v>%</v>
      </c>
      <c r="G279" s="33"/>
      <c r="H279" s="81"/>
      <c r="J279" s="32" t="s">
        <v>508</v>
      </c>
      <c r="K279" s="92" t="str">
        <f>IF(ISNUMBER(L279),L279,"")</f>
        <v/>
      </c>
      <c r="L279" s="181"/>
      <c r="M279" s="40" t="s">
        <v>248</v>
      </c>
      <c r="N279" s="40"/>
      <c r="O279" s="259"/>
      <c r="Q279" s="34"/>
      <c r="R279" s="105" t="str">
        <f>IF(AND(ISNUMBER(K279),ISNUMBER(C279)),-K279*C279*C278,"")</f>
        <v/>
      </c>
      <c r="S279" s="98" t="s">
        <v>160</v>
      </c>
      <c r="T279" s="131" t="s">
        <v>348</v>
      </c>
      <c r="U279" s="35"/>
      <c r="V279" s="35"/>
      <c r="W279" s="35"/>
      <c r="X279" s="35"/>
      <c r="Y279" s="35"/>
      <c r="Z279" s="35"/>
      <c r="AA279" s="35"/>
      <c r="AB279" s="35"/>
      <c r="AC279" s="35"/>
      <c r="AD279" s="35"/>
      <c r="AE279" s="35"/>
      <c r="AF279" s="35"/>
      <c r="AG279" s="35"/>
      <c r="AH279" s="35"/>
      <c r="AI279" s="35"/>
      <c r="AJ279" s="35"/>
      <c r="AK279" s="35"/>
      <c r="AL279" s="35"/>
      <c r="AM279" s="35"/>
      <c r="AN279" s="36"/>
      <c r="AO279" s="36"/>
      <c r="AP279" s="36"/>
      <c r="AQ279" s="36"/>
      <c r="AR279" s="36"/>
      <c r="AS279" s="36"/>
      <c r="AT279" s="36"/>
      <c r="AU279" s="36"/>
      <c r="AV279" s="36"/>
      <c r="AW279" s="36"/>
      <c r="AX279" s="36"/>
      <c r="AY279" s="36"/>
      <c r="AZ279" s="36"/>
      <c r="BA279" s="36"/>
      <c r="BB279" s="36"/>
      <c r="BC279" s="36"/>
      <c r="BD279" s="36"/>
      <c r="BE279" s="36"/>
    </row>
    <row r="280" spans="2:57" s="30" customFormat="1" ht="15" x14ac:dyDescent="0.2">
      <c r="B280" s="166" t="s">
        <v>519</v>
      </c>
      <c r="C280" s="150"/>
      <c r="D280" s="81" t="str">
        <f t="shared" si="0"/>
        <v>%</v>
      </c>
      <c r="E280" s="33"/>
      <c r="F280" s="33"/>
      <c r="G280" s="33"/>
      <c r="H280" s="81"/>
      <c r="J280" s="32" t="s">
        <v>512</v>
      </c>
      <c r="K280" s="92" t="str">
        <f>IF(ISNUMBER(L280),L280,"")</f>
        <v/>
      </c>
      <c r="L280" s="181"/>
      <c r="M280" s="40" t="s">
        <v>248</v>
      </c>
      <c r="N280" s="40"/>
      <c r="O280" s="259"/>
      <c r="Q280" s="34"/>
      <c r="R280" s="105" t="str">
        <f>IF(AND(ISNUMBER(K280),ISNUMBER(C280)),-K280*C280*C278,"")</f>
        <v/>
      </c>
      <c r="S280" s="98" t="s">
        <v>160</v>
      </c>
      <c r="T280" s="131" t="s">
        <v>348</v>
      </c>
      <c r="U280" s="35"/>
      <c r="V280" s="35"/>
      <c r="W280" s="35"/>
      <c r="X280" s="35"/>
      <c r="Y280" s="35"/>
      <c r="Z280" s="35"/>
      <c r="AA280" s="35"/>
      <c r="AB280" s="35"/>
      <c r="AC280" s="35"/>
      <c r="AD280" s="35"/>
      <c r="AE280" s="35"/>
      <c r="AF280" s="35"/>
      <c r="AG280" s="35"/>
      <c r="AH280" s="35"/>
      <c r="AI280" s="35"/>
      <c r="AJ280" s="35"/>
      <c r="AK280" s="35"/>
      <c r="AL280" s="35"/>
      <c r="AM280" s="35"/>
      <c r="AN280" s="36"/>
      <c r="AO280" s="36"/>
      <c r="AP280" s="36"/>
      <c r="AQ280" s="36"/>
      <c r="AR280" s="36"/>
      <c r="AS280" s="36"/>
      <c r="AT280" s="36"/>
      <c r="AU280" s="36"/>
      <c r="AV280" s="36"/>
      <c r="AW280" s="36"/>
      <c r="AX280" s="36"/>
      <c r="AY280" s="36"/>
      <c r="AZ280" s="36"/>
      <c r="BA280" s="36"/>
      <c r="BB280" s="36"/>
      <c r="BC280" s="36"/>
      <c r="BD280" s="36"/>
      <c r="BE280" s="36"/>
    </row>
    <row r="281" spans="2:57" s="30" customFormat="1" ht="15" x14ac:dyDescent="0.2">
      <c r="B281" s="132" t="s">
        <v>505</v>
      </c>
      <c r="C281" s="64"/>
      <c r="D281" s="81" t="s">
        <v>52</v>
      </c>
      <c r="G281" s="33"/>
      <c r="H281" s="81"/>
      <c r="J281" s="32" t="s">
        <v>347</v>
      </c>
      <c r="K281" s="134">
        <f>IF(ISNUMBER(L281),L281,Muut!$F$31)</f>
        <v>33.857142857142854</v>
      </c>
      <c r="L281" s="61"/>
      <c r="M281" s="40" t="s">
        <v>248</v>
      </c>
      <c r="N281" s="40"/>
      <c r="O281" s="259"/>
      <c r="Q281" s="34"/>
      <c r="R281" s="105" t="str">
        <f>IF(AND(ISNUMBER(K281),ISNUMBER(C281)),K281*C281,"")</f>
        <v/>
      </c>
      <c r="S281" s="98" t="s">
        <v>160</v>
      </c>
      <c r="T281" s="35"/>
      <c r="U281" s="35"/>
      <c r="V281" s="35"/>
      <c r="W281" s="35"/>
      <c r="X281" s="35"/>
      <c r="Y281" s="35"/>
      <c r="Z281" s="35"/>
      <c r="AA281" s="35"/>
      <c r="AB281" s="35"/>
      <c r="AC281" s="35"/>
      <c r="AD281" s="35"/>
      <c r="AE281" s="35"/>
      <c r="AF281" s="35"/>
      <c r="AG281" s="35"/>
      <c r="AH281" s="35"/>
      <c r="AI281" s="35"/>
      <c r="AJ281" s="35"/>
      <c r="AK281" s="35"/>
      <c r="AL281" s="35"/>
      <c r="AM281" s="35"/>
      <c r="AN281" s="36"/>
      <c r="AO281" s="36"/>
      <c r="AP281" s="36"/>
      <c r="AQ281" s="36"/>
      <c r="AR281" s="36"/>
      <c r="AS281" s="36"/>
      <c r="AT281" s="36"/>
      <c r="AU281" s="36"/>
      <c r="AV281" s="36"/>
      <c r="AW281" s="36"/>
      <c r="AX281" s="36"/>
      <c r="AY281" s="36"/>
      <c r="AZ281" s="36"/>
      <c r="BA281" s="36"/>
      <c r="BB281" s="36"/>
      <c r="BC281" s="36"/>
      <c r="BD281" s="36"/>
      <c r="BE281" s="36"/>
    </row>
    <row r="282" spans="2:57" s="30" customFormat="1" ht="15" x14ac:dyDescent="0.2">
      <c r="B282" s="166" t="s">
        <v>520</v>
      </c>
      <c r="C282" s="150"/>
      <c r="D282" s="81" t="str">
        <f t="shared" ref="D282:D283" si="1">IF(ISBLANK(C282),"%","")</f>
        <v>%</v>
      </c>
      <c r="E282" s="33"/>
      <c r="F282" s="33"/>
      <c r="G282" s="33"/>
      <c r="H282" s="81"/>
      <c r="J282" s="32" t="s">
        <v>508</v>
      </c>
      <c r="K282" s="92" t="str">
        <f>IF(ISNUMBER(L282),L282,"")</f>
        <v/>
      </c>
      <c r="L282" s="181"/>
      <c r="M282" s="40" t="s">
        <v>248</v>
      </c>
      <c r="N282" s="40"/>
      <c r="O282" s="259"/>
      <c r="Q282" s="34"/>
      <c r="R282" s="105" t="str">
        <f>IF(AND(ISNUMBER(K282),ISNUMBER(C282)),-K282*C282*C281,"")</f>
        <v/>
      </c>
      <c r="S282" s="98" t="s">
        <v>160</v>
      </c>
      <c r="T282" s="131" t="s">
        <v>348</v>
      </c>
      <c r="U282" s="35"/>
      <c r="V282" s="35"/>
      <c r="W282" s="35"/>
      <c r="X282" s="35"/>
      <c r="Y282" s="35"/>
      <c r="Z282" s="35"/>
      <c r="AA282" s="35"/>
      <c r="AB282" s="35"/>
      <c r="AC282" s="35"/>
      <c r="AD282" s="35"/>
      <c r="AE282" s="35"/>
      <c r="AF282" s="35"/>
      <c r="AG282" s="35"/>
      <c r="AH282" s="35"/>
      <c r="AI282" s="35"/>
      <c r="AJ282" s="35"/>
      <c r="AK282" s="35"/>
      <c r="AL282" s="35"/>
      <c r="AM282" s="35"/>
      <c r="AN282" s="36"/>
      <c r="AO282" s="36"/>
      <c r="AP282" s="36"/>
      <c r="AQ282" s="36"/>
      <c r="AR282" s="36"/>
      <c r="AS282" s="36"/>
      <c r="AT282" s="36"/>
      <c r="AU282" s="36"/>
      <c r="AV282" s="36"/>
      <c r="AW282" s="36"/>
      <c r="AX282" s="36"/>
      <c r="AY282" s="36"/>
      <c r="AZ282" s="36"/>
      <c r="BA282" s="36"/>
      <c r="BB282" s="36"/>
      <c r="BC282" s="36"/>
      <c r="BD282" s="36"/>
      <c r="BE282" s="36"/>
    </row>
    <row r="283" spans="2:57" s="30" customFormat="1" ht="15" x14ac:dyDescent="0.2">
      <c r="B283" s="166" t="s">
        <v>519</v>
      </c>
      <c r="C283" s="150"/>
      <c r="D283" s="81" t="str">
        <f t="shared" si="1"/>
        <v>%</v>
      </c>
      <c r="E283" s="33"/>
      <c r="F283" s="33"/>
      <c r="G283" s="33"/>
      <c r="H283" s="81"/>
      <c r="J283" s="32" t="s">
        <v>512</v>
      </c>
      <c r="K283" s="92" t="str">
        <f>IF(ISNUMBER(L283),L283,"")</f>
        <v/>
      </c>
      <c r="L283" s="181"/>
      <c r="M283" s="40" t="s">
        <v>248</v>
      </c>
      <c r="N283" s="40"/>
      <c r="O283" s="259"/>
      <c r="Q283" s="34"/>
      <c r="R283" s="105" t="str">
        <f>IF(AND(ISNUMBER(K283),ISNUMBER(C283)),-K283*C283*C281,"")</f>
        <v/>
      </c>
      <c r="S283" s="98" t="s">
        <v>160</v>
      </c>
      <c r="T283" s="131" t="s">
        <v>348</v>
      </c>
      <c r="U283" s="35"/>
      <c r="V283" s="35"/>
      <c r="W283" s="35"/>
      <c r="X283" s="35"/>
      <c r="Y283" s="35"/>
      <c r="Z283" s="35"/>
      <c r="AA283" s="35"/>
      <c r="AB283" s="35"/>
      <c r="AC283" s="35"/>
      <c r="AD283" s="35"/>
      <c r="AE283" s="35"/>
      <c r="AF283" s="35"/>
      <c r="AG283" s="35"/>
      <c r="AH283" s="35"/>
      <c r="AI283" s="35"/>
      <c r="AJ283" s="35"/>
      <c r="AK283" s="35"/>
      <c r="AL283" s="35"/>
      <c r="AM283" s="35"/>
      <c r="AN283" s="36"/>
      <c r="AO283" s="36"/>
      <c r="AP283" s="36"/>
      <c r="AQ283" s="36"/>
      <c r="AR283" s="36"/>
      <c r="AS283" s="36"/>
      <c r="AT283" s="36"/>
      <c r="AU283" s="36"/>
      <c r="AV283" s="36"/>
      <c r="AW283" s="36"/>
      <c r="AX283" s="36"/>
      <c r="AY283" s="36"/>
      <c r="AZ283" s="36"/>
      <c r="BA283" s="36"/>
      <c r="BB283" s="36"/>
      <c r="BC283" s="36"/>
      <c r="BD283" s="36"/>
      <c r="BE283" s="36"/>
    </row>
    <row r="284" spans="2:57" s="30" customFormat="1" ht="15" x14ac:dyDescent="0.2">
      <c r="B284" s="132" t="s">
        <v>506</v>
      </c>
      <c r="C284" s="64"/>
      <c r="D284" s="81" t="s">
        <v>52</v>
      </c>
      <c r="G284" s="33"/>
      <c r="H284" s="81"/>
      <c r="J284" s="32" t="s">
        <v>347</v>
      </c>
      <c r="K284" s="134">
        <f>IF(ISNUMBER(L284),L284,Muut!$F$31)</f>
        <v>33.857142857142854</v>
      </c>
      <c r="L284" s="61"/>
      <c r="M284" s="40" t="s">
        <v>248</v>
      </c>
      <c r="N284" s="40"/>
      <c r="O284" s="259"/>
      <c r="Q284" s="34"/>
      <c r="R284" s="105" t="str">
        <f>IF(AND(ISNUMBER(K284),ISNUMBER(C284)),K284*C284,"")</f>
        <v/>
      </c>
      <c r="S284" s="98" t="s">
        <v>160</v>
      </c>
      <c r="T284" s="35"/>
      <c r="U284" s="35"/>
      <c r="V284" s="35"/>
      <c r="W284" s="35"/>
      <c r="X284" s="35"/>
      <c r="Y284" s="35"/>
      <c r="Z284" s="35"/>
      <c r="AA284" s="35"/>
      <c r="AB284" s="35"/>
      <c r="AC284" s="35"/>
      <c r="AD284" s="35"/>
      <c r="AE284" s="35"/>
      <c r="AF284" s="35"/>
      <c r="AG284" s="35"/>
      <c r="AH284" s="35"/>
      <c r="AI284" s="35"/>
      <c r="AJ284" s="35"/>
      <c r="AK284" s="35"/>
      <c r="AL284" s="35"/>
      <c r="AM284" s="35"/>
      <c r="AN284" s="36"/>
      <c r="AO284" s="36"/>
      <c r="AP284" s="36"/>
      <c r="AQ284" s="36"/>
      <c r="AR284" s="36"/>
      <c r="AS284" s="36"/>
      <c r="AT284" s="36"/>
      <c r="AU284" s="36"/>
      <c r="AV284" s="36"/>
      <c r="AW284" s="36"/>
      <c r="AX284" s="36"/>
      <c r="AY284" s="36"/>
      <c r="AZ284" s="36"/>
      <c r="BA284" s="36"/>
      <c r="BB284" s="36"/>
      <c r="BC284" s="36"/>
      <c r="BD284" s="36"/>
      <c r="BE284" s="36"/>
    </row>
    <row r="285" spans="2:57" s="30" customFormat="1" ht="15" x14ac:dyDescent="0.2">
      <c r="B285" s="166" t="s">
        <v>520</v>
      </c>
      <c r="C285" s="150"/>
      <c r="D285" s="81" t="str">
        <f t="shared" ref="D285:D286" si="2">IF(ISBLANK(C285),"%","")</f>
        <v>%</v>
      </c>
      <c r="E285" s="33"/>
      <c r="F285" s="33"/>
      <c r="G285" s="33"/>
      <c r="H285" s="81"/>
      <c r="J285" s="32" t="s">
        <v>508</v>
      </c>
      <c r="K285" s="92" t="str">
        <f>IF(ISNUMBER(L285),L285,"")</f>
        <v/>
      </c>
      <c r="L285" s="181"/>
      <c r="M285" s="40" t="s">
        <v>248</v>
      </c>
      <c r="N285" s="40"/>
      <c r="O285" s="259"/>
      <c r="Q285" s="34"/>
      <c r="R285" s="105" t="str">
        <f>IF(AND(ISNUMBER(K285),ISNUMBER(C285)),-K285*C285*C284,"")</f>
        <v/>
      </c>
      <c r="S285" s="98" t="s">
        <v>160</v>
      </c>
      <c r="T285" s="131" t="s">
        <v>348</v>
      </c>
      <c r="U285" s="35"/>
      <c r="V285" s="35"/>
      <c r="W285" s="35"/>
      <c r="X285" s="35"/>
      <c r="Y285" s="35"/>
      <c r="Z285" s="35"/>
      <c r="AA285" s="35"/>
      <c r="AB285" s="35"/>
      <c r="AC285" s="35"/>
      <c r="AD285" s="35"/>
      <c r="AE285" s="35"/>
      <c r="AF285" s="35"/>
      <c r="AG285" s="35"/>
      <c r="AH285" s="35"/>
      <c r="AI285" s="35"/>
      <c r="AJ285" s="35"/>
      <c r="AK285" s="35"/>
      <c r="AL285" s="35"/>
      <c r="AM285" s="35"/>
      <c r="AN285" s="36"/>
      <c r="AO285" s="36"/>
      <c r="AP285" s="36"/>
      <c r="AQ285" s="36"/>
      <c r="AR285" s="36"/>
      <c r="AS285" s="36"/>
      <c r="AT285" s="36"/>
      <c r="AU285" s="36"/>
      <c r="AV285" s="36"/>
      <c r="AW285" s="36"/>
      <c r="AX285" s="36"/>
      <c r="AY285" s="36"/>
      <c r="AZ285" s="36"/>
      <c r="BA285" s="36"/>
      <c r="BB285" s="36"/>
      <c r="BC285" s="36"/>
      <c r="BD285" s="36"/>
      <c r="BE285" s="36"/>
    </row>
    <row r="286" spans="2:57" s="30" customFormat="1" ht="15" x14ac:dyDescent="0.2">
      <c r="B286" s="166" t="s">
        <v>519</v>
      </c>
      <c r="C286" s="150"/>
      <c r="D286" s="81" t="str">
        <f t="shared" si="2"/>
        <v>%</v>
      </c>
      <c r="E286" s="33"/>
      <c r="F286" s="33"/>
      <c r="G286" s="33"/>
      <c r="H286" s="81"/>
      <c r="J286" s="32" t="s">
        <v>512</v>
      </c>
      <c r="K286" s="92" t="str">
        <f>IF(ISNUMBER(L286),L286,"")</f>
        <v/>
      </c>
      <c r="L286" s="181"/>
      <c r="M286" s="40" t="s">
        <v>248</v>
      </c>
      <c r="N286" s="40"/>
      <c r="O286" s="259"/>
      <c r="Q286" s="34"/>
      <c r="R286" s="105" t="str">
        <f>IF(AND(ISNUMBER(K286),ISNUMBER(C286)),-K286*C286*C284,"")</f>
        <v/>
      </c>
      <c r="S286" s="98" t="s">
        <v>160</v>
      </c>
      <c r="T286" s="131" t="s">
        <v>348</v>
      </c>
      <c r="U286" s="35"/>
      <c r="V286" s="35"/>
      <c r="W286" s="35"/>
      <c r="X286" s="35"/>
      <c r="Y286" s="35"/>
      <c r="Z286" s="35"/>
      <c r="AA286" s="35"/>
      <c r="AB286" s="35"/>
      <c r="AC286" s="35"/>
      <c r="AD286" s="35"/>
      <c r="AE286" s="35"/>
      <c r="AF286" s="35"/>
      <c r="AG286" s="35"/>
      <c r="AH286" s="35"/>
      <c r="AI286" s="35"/>
      <c r="AJ286" s="35"/>
      <c r="AK286" s="35"/>
      <c r="AL286" s="35"/>
      <c r="AM286" s="35"/>
      <c r="AN286" s="36"/>
      <c r="AO286" s="36"/>
      <c r="AP286" s="36"/>
      <c r="AQ286" s="36"/>
      <c r="AR286" s="36"/>
      <c r="AS286" s="36"/>
      <c r="AT286" s="36"/>
      <c r="AU286" s="36"/>
      <c r="AV286" s="36"/>
      <c r="AW286" s="36"/>
      <c r="AX286" s="36"/>
      <c r="AY286" s="36"/>
      <c r="AZ286" s="36"/>
      <c r="BA286" s="36"/>
      <c r="BB286" s="36"/>
      <c r="BC286" s="36"/>
      <c r="BD286" s="36"/>
      <c r="BE286" s="36"/>
    </row>
    <row r="287" spans="2:57" s="30" customFormat="1" ht="15" x14ac:dyDescent="0.2">
      <c r="B287" s="132" t="s">
        <v>507</v>
      </c>
      <c r="C287" s="64"/>
      <c r="D287" s="81" t="s">
        <v>52</v>
      </c>
      <c r="G287" s="33"/>
      <c r="H287" s="81"/>
      <c r="J287" s="32" t="s">
        <v>347</v>
      </c>
      <c r="K287" s="134">
        <f>IF(ISNUMBER(L287),L287,Muut!$F$31)</f>
        <v>33.857142857142854</v>
      </c>
      <c r="L287" s="61"/>
      <c r="M287" s="40" t="s">
        <v>248</v>
      </c>
      <c r="N287" s="40"/>
      <c r="O287" s="259"/>
      <c r="Q287" s="34"/>
      <c r="R287" s="105" t="str">
        <f>IF(AND(ISNUMBER(K287),ISNUMBER(C287)),K287*C287,"")</f>
        <v/>
      </c>
      <c r="S287" s="98" t="s">
        <v>160</v>
      </c>
      <c r="T287" s="35"/>
      <c r="U287" s="35"/>
      <c r="V287" s="35"/>
      <c r="W287" s="35"/>
      <c r="X287" s="35"/>
      <c r="Y287" s="35"/>
      <c r="Z287" s="35"/>
      <c r="AA287" s="35"/>
      <c r="AB287" s="35"/>
      <c r="AC287" s="35"/>
      <c r="AD287" s="35"/>
      <c r="AE287" s="35"/>
      <c r="AF287" s="35"/>
      <c r="AG287" s="35"/>
      <c r="AH287" s="35"/>
      <c r="AI287" s="35"/>
      <c r="AJ287" s="35"/>
      <c r="AK287" s="35"/>
      <c r="AL287" s="35"/>
      <c r="AM287" s="35"/>
      <c r="AN287" s="36"/>
      <c r="AO287" s="36"/>
      <c r="AP287" s="36"/>
      <c r="AQ287" s="36"/>
      <c r="AR287" s="36"/>
      <c r="AS287" s="36"/>
      <c r="AT287" s="36"/>
      <c r="AU287" s="36"/>
      <c r="AV287" s="36"/>
      <c r="AW287" s="36"/>
      <c r="AX287" s="36"/>
      <c r="AY287" s="36"/>
      <c r="AZ287" s="36"/>
      <c r="BA287" s="36"/>
      <c r="BB287" s="36"/>
      <c r="BC287" s="36"/>
      <c r="BD287" s="36"/>
      <c r="BE287" s="36"/>
    </row>
    <row r="288" spans="2:57" s="30" customFormat="1" ht="15" x14ac:dyDescent="0.2">
      <c r="B288" s="166" t="s">
        <v>520</v>
      </c>
      <c r="C288" s="150"/>
      <c r="D288" s="81" t="str">
        <f t="shared" ref="D288:D289" si="3">IF(ISBLANK(C288),"%","")</f>
        <v>%</v>
      </c>
      <c r="E288" s="33"/>
      <c r="F288" s="33"/>
      <c r="G288" s="33"/>
      <c r="H288" s="81"/>
      <c r="J288" s="32" t="s">
        <v>508</v>
      </c>
      <c r="K288" s="92" t="str">
        <f>IF(ISNUMBER(L288),L288,"")</f>
        <v/>
      </c>
      <c r="L288" s="181"/>
      <c r="M288" s="40" t="s">
        <v>248</v>
      </c>
      <c r="N288" s="40"/>
      <c r="O288" s="259"/>
      <c r="Q288" s="34"/>
      <c r="R288" s="105" t="str">
        <f>IF(AND(ISNUMBER(K288),ISNUMBER(C288)),-K288*C288*C287,"")</f>
        <v/>
      </c>
      <c r="S288" s="98" t="s">
        <v>160</v>
      </c>
      <c r="T288" s="131" t="s">
        <v>348</v>
      </c>
      <c r="U288" s="35"/>
      <c r="V288" s="35"/>
      <c r="W288" s="35"/>
      <c r="X288" s="35"/>
      <c r="Y288" s="35"/>
      <c r="Z288" s="35"/>
      <c r="AA288" s="35"/>
      <c r="AB288" s="35"/>
      <c r="AC288" s="35"/>
      <c r="AD288" s="35"/>
      <c r="AE288" s="35"/>
      <c r="AF288" s="35"/>
      <c r="AG288" s="35"/>
      <c r="AH288" s="35"/>
      <c r="AI288" s="35"/>
      <c r="AJ288" s="35"/>
      <c r="AK288" s="35"/>
      <c r="AL288" s="35"/>
      <c r="AM288" s="35"/>
      <c r="AN288" s="36"/>
      <c r="AO288" s="36"/>
      <c r="AP288" s="36"/>
      <c r="AQ288" s="36"/>
      <c r="AR288" s="36"/>
      <c r="AS288" s="36"/>
      <c r="AT288" s="36"/>
      <c r="AU288" s="36"/>
      <c r="AV288" s="36"/>
      <c r="AW288" s="36"/>
      <c r="AX288" s="36"/>
      <c r="AY288" s="36"/>
      <c r="AZ288" s="36"/>
      <c r="BA288" s="36"/>
      <c r="BB288" s="36"/>
      <c r="BC288" s="36"/>
      <c r="BD288" s="36"/>
      <c r="BE288" s="36"/>
    </row>
    <row r="289" spans="2:59" s="30" customFormat="1" ht="15" x14ac:dyDescent="0.2">
      <c r="B289" s="166" t="s">
        <v>519</v>
      </c>
      <c r="C289" s="150"/>
      <c r="D289" s="81" t="str">
        <f t="shared" si="3"/>
        <v>%</v>
      </c>
      <c r="E289" s="33"/>
      <c r="F289" s="33"/>
      <c r="G289" s="33"/>
      <c r="H289" s="81"/>
      <c r="J289" s="32" t="s">
        <v>512</v>
      </c>
      <c r="K289" s="92" t="str">
        <f>IF(ISNUMBER(L289),L289,"")</f>
        <v/>
      </c>
      <c r="L289" s="181"/>
      <c r="M289" s="40" t="s">
        <v>248</v>
      </c>
      <c r="N289" s="40"/>
      <c r="O289" s="259"/>
      <c r="Q289" s="34"/>
      <c r="R289" s="105" t="str">
        <f>IF(AND(ISNUMBER(K289),ISNUMBER(C289)),-K289*C289*C287,"")</f>
        <v/>
      </c>
      <c r="S289" s="98" t="s">
        <v>160</v>
      </c>
      <c r="T289" s="131" t="s">
        <v>348</v>
      </c>
      <c r="U289" s="35"/>
      <c r="V289" s="35"/>
      <c r="W289" s="35"/>
      <c r="X289" s="35"/>
      <c r="Y289" s="35"/>
      <c r="Z289" s="35"/>
      <c r="AA289" s="35"/>
      <c r="AB289" s="35"/>
      <c r="AC289" s="35"/>
      <c r="AD289" s="35"/>
      <c r="AE289" s="35"/>
      <c r="AF289" s="35"/>
      <c r="AG289" s="35"/>
      <c r="AH289" s="35"/>
      <c r="AI289" s="35"/>
      <c r="AJ289" s="35"/>
      <c r="AK289" s="35"/>
      <c r="AL289" s="35"/>
      <c r="AM289" s="35"/>
      <c r="AN289" s="36"/>
      <c r="AO289" s="36"/>
      <c r="AP289" s="36"/>
      <c r="AQ289" s="36"/>
      <c r="AR289" s="36"/>
      <c r="AS289" s="36"/>
      <c r="AT289" s="36"/>
      <c r="AU289" s="36"/>
      <c r="AV289" s="36"/>
      <c r="AW289" s="36"/>
      <c r="AX289" s="36"/>
      <c r="AY289" s="36"/>
      <c r="AZ289" s="36"/>
      <c r="BA289" s="36"/>
      <c r="BB289" s="36"/>
      <c r="BC289" s="36"/>
      <c r="BD289" s="36"/>
      <c r="BE289" s="36"/>
    </row>
    <row r="290" spans="2:59" s="30" customFormat="1" ht="15" x14ac:dyDescent="0.2">
      <c r="C290" s="33"/>
      <c r="D290" s="81"/>
      <c r="G290" s="33"/>
      <c r="H290" s="81"/>
      <c r="J290" s="32"/>
      <c r="K290" s="33"/>
      <c r="L290" s="33"/>
      <c r="M290" s="81"/>
      <c r="N290" s="81"/>
      <c r="O290" s="96"/>
      <c r="Q290" s="34"/>
      <c r="R290" s="35"/>
      <c r="S290" s="35"/>
      <c r="T290" s="35"/>
      <c r="U290" s="35"/>
      <c r="V290" s="35"/>
      <c r="W290" s="35"/>
      <c r="X290" s="35"/>
      <c r="Y290" s="35"/>
      <c r="Z290" s="35"/>
      <c r="AA290" s="35"/>
      <c r="AB290" s="35"/>
      <c r="AC290" s="35"/>
      <c r="AD290" s="35"/>
      <c r="AE290" s="35"/>
      <c r="AF290" s="35"/>
      <c r="AG290" s="35"/>
      <c r="AH290" s="35"/>
      <c r="AI290" s="35"/>
      <c r="AJ290" s="35"/>
      <c r="AK290" s="35"/>
      <c r="AL290" s="35"/>
      <c r="AM290" s="35"/>
      <c r="AN290" s="36"/>
      <c r="AO290" s="36"/>
      <c r="AP290" s="36"/>
      <c r="AQ290" s="36"/>
      <c r="AR290" s="36"/>
      <c r="AS290" s="36"/>
      <c r="AT290" s="36"/>
      <c r="AU290" s="36"/>
      <c r="AV290" s="36"/>
      <c r="AW290" s="36"/>
      <c r="AX290" s="36"/>
      <c r="AY290" s="36"/>
      <c r="AZ290" s="36"/>
      <c r="BA290" s="36"/>
      <c r="BB290" s="36"/>
      <c r="BC290" s="36"/>
      <c r="BD290" s="36"/>
      <c r="BE290" s="36"/>
    </row>
    <row r="291" spans="2:59" s="30" customFormat="1" ht="15.75" x14ac:dyDescent="0.2">
      <c r="B291" s="8" t="s">
        <v>11</v>
      </c>
      <c r="C291" s="33"/>
      <c r="D291" s="81"/>
      <c r="G291" s="33"/>
      <c r="H291" s="81"/>
      <c r="J291" s="32"/>
      <c r="K291" s="37"/>
      <c r="L291" s="37"/>
      <c r="M291" s="81"/>
      <c r="N291" s="81"/>
      <c r="O291" s="96"/>
      <c r="Q291" s="34"/>
      <c r="R291" s="35"/>
      <c r="S291" s="35"/>
      <c r="T291" s="35"/>
      <c r="U291" s="35"/>
      <c r="V291" s="35"/>
      <c r="W291" s="35"/>
      <c r="X291" s="35"/>
      <c r="Y291" s="35"/>
      <c r="Z291" s="35"/>
      <c r="AA291" s="35"/>
      <c r="AB291" s="35"/>
      <c r="AC291" s="35"/>
      <c r="AD291" s="35"/>
      <c r="AE291" s="35"/>
      <c r="AF291" s="35"/>
      <c r="AG291" s="35"/>
      <c r="AH291" s="35"/>
      <c r="AI291" s="35"/>
      <c r="AJ291" s="35"/>
      <c r="AK291" s="35"/>
      <c r="AL291" s="35"/>
      <c r="AM291" s="35"/>
      <c r="AN291" s="36"/>
      <c r="AO291" s="36"/>
      <c r="AP291" s="36"/>
      <c r="AQ291" s="36"/>
      <c r="AR291" s="36"/>
      <c r="AS291" s="36"/>
      <c r="AT291" s="36"/>
      <c r="AU291" s="36"/>
      <c r="AV291" s="36"/>
      <c r="AW291" s="36"/>
      <c r="AX291" s="36"/>
      <c r="AY291" s="36"/>
      <c r="AZ291" s="36"/>
      <c r="BA291" s="36"/>
      <c r="BB291" s="36"/>
      <c r="BC291" s="36"/>
      <c r="BD291" s="36"/>
      <c r="BE291" s="36"/>
    </row>
    <row r="292" spans="2:59" s="30" customFormat="1" ht="15.75" x14ac:dyDescent="0.2">
      <c r="B292" s="8"/>
      <c r="C292" s="33"/>
      <c r="D292" s="81"/>
      <c r="G292" s="33"/>
      <c r="H292" s="81"/>
      <c r="J292" s="32"/>
      <c r="K292" s="37" t="s">
        <v>297</v>
      </c>
      <c r="L292" s="37" t="s">
        <v>185</v>
      </c>
      <c r="M292" s="81"/>
      <c r="N292" s="81"/>
      <c r="O292" s="96"/>
      <c r="Q292" s="34"/>
      <c r="R292" s="35" t="s">
        <v>318</v>
      </c>
      <c r="S292" s="35"/>
      <c r="T292" s="35"/>
      <c r="U292" s="35"/>
      <c r="V292" s="35"/>
      <c r="W292" s="35"/>
      <c r="X292" s="35"/>
      <c r="Y292" s="35"/>
      <c r="Z292" s="35"/>
      <c r="AA292" s="35"/>
      <c r="AB292" s="35"/>
      <c r="AC292" s="35"/>
      <c r="AD292" s="35"/>
      <c r="AE292" s="35"/>
      <c r="AF292" s="35"/>
      <c r="AG292" s="35"/>
      <c r="AH292" s="35"/>
      <c r="AI292" s="35"/>
      <c r="AJ292" s="35"/>
      <c r="AK292" s="35"/>
      <c r="AL292" s="35"/>
      <c r="AM292" s="35"/>
      <c r="AN292" s="36"/>
      <c r="AO292" s="36"/>
      <c r="AP292" s="36"/>
      <c r="AQ292" s="36"/>
      <c r="AR292" s="36"/>
      <c r="AS292" s="36"/>
      <c r="AT292" s="36"/>
      <c r="AU292" s="36"/>
      <c r="AV292" s="36"/>
      <c r="AW292" s="36"/>
      <c r="AX292" s="36"/>
      <c r="AY292" s="36"/>
      <c r="AZ292" s="36"/>
      <c r="BA292" s="36"/>
      <c r="BB292" s="36"/>
      <c r="BC292" s="36"/>
      <c r="BD292" s="36"/>
      <c r="BE292" s="36"/>
    </row>
    <row r="293" spans="2:59" s="30" customFormat="1" ht="30" x14ac:dyDescent="0.2">
      <c r="B293" s="76" t="s">
        <v>466</v>
      </c>
      <c r="C293" s="156"/>
      <c r="D293" s="81" t="s">
        <v>163</v>
      </c>
      <c r="G293" s="33"/>
      <c r="H293" s="81"/>
      <c r="J293" s="32" t="s">
        <v>513</v>
      </c>
      <c r="K293" s="92">
        <f>IF(ISNUMBER(L293),L293,Muut!$F$29*IF(OR(C294=Pudotusvalikot!$V$3,C294=Pudotusvalikot!$V$4),Muut!$E$40,IF(C294=Pudotusvalikot!$V$5,Muut!$E$41,IF(C294=Pudotusvalikot!$V$6,Muut!$E$42,Muut!$E$43))))</f>
        <v>0.22753333333333334</v>
      </c>
      <c r="L293" s="61"/>
      <c r="M293" s="40" t="s">
        <v>207</v>
      </c>
      <c r="N293" s="40"/>
      <c r="O293" s="259"/>
      <c r="Q293" s="34"/>
      <c r="R293" s="105" t="str">
        <f>IF(AND(ISNUMBER(K293),ISNUMBER(C293)),K293*C293,"")</f>
        <v/>
      </c>
      <c r="S293" s="98" t="s">
        <v>160</v>
      </c>
      <c r="T293" s="59"/>
      <c r="U293" s="59"/>
      <c r="V293" s="59"/>
      <c r="W293" s="35"/>
      <c r="X293" s="35"/>
      <c r="Y293" s="35"/>
      <c r="Z293" s="35"/>
      <c r="AA293" s="35"/>
      <c r="AB293" s="35"/>
      <c r="AC293" s="35"/>
      <c r="AD293" s="35"/>
      <c r="AE293" s="35"/>
      <c r="AF293" s="35"/>
      <c r="AG293" s="35"/>
      <c r="AH293" s="35"/>
      <c r="AI293" s="35"/>
      <c r="AJ293" s="35"/>
      <c r="AK293" s="35"/>
      <c r="AL293" s="35"/>
      <c r="AM293" s="35"/>
      <c r="AN293" s="36"/>
      <c r="AO293" s="36"/>
      <c r="AP293" s="36"/>
      <c r="AQ293" s="36"/>
      <c r="AR293" s="36"/>
      <c r="AS293" s="36"/>
      <c r="AT293" s="36"/>
      <c r="AU293" s="36"/>
      <c r="AV293" s="36"/>
      <c r="AW293" s="36"/>
      <c r="AX293" s="36"/>
      <c r="AY293" s="36"/>
      <c r="AZ293" s="36"/>
      <c r="BA293" s="36"/>
      <c r="BB293" s="36"/>
      <c r="BC293" s="36"/>
      <c r="BD293" s="36"/>
      <c r="BE293" s="36"/>
    </row>
    <row r="294" spans="2:59" s="30" customFormat="1" ht="15" x14ac:dyDescent="0.2">
      <c r="B294" s="166" t="s">
        <v>460</v>
      </c>
      <c r="C294" s="156" t="s">
        <v>309</v>
      </c>
      <c r="D294" s="33"/>
      <c r="E294" s="33"/>
      <c r="F294" s="33"/>
      <c r="G294" s="33"/>
      <c r="H294" s="57"/>
      <c r="J294" s="169"/>
      <c r="K294" s="169"/>
      <c r="L294" s="169"/>
      <c r="M294" s="40"/>
      <c r="N294" s="40"/>
      <c r="O294" s="259"/>
      <c r="Q294" s="45"/>
      <c r="R294" s="59"/>
      <c r="S294" s="98"/>
      <c r="T294" s="35"/>
      <c r="U294" s="35"/>
      <c r="V294" s="177"/>
      <c r="W294" s="177"/>
      <c r="X294" s="59"/>
      <c r="Y294" s="35"/>
      <c r="Z294" s="59"/>
      <c r="AA294" s="178"/>
      <c r="AB294" s="59"/>
      <c r="AC294" s="59"/>
      <c r="AD294" s="59"/>
      <c r="AE294" s="59"/>
      <c r="AF294" s="178"/>
      <c r="AG294" s="59"/>
      <c r="AH294" s="35"/>
      <c r="AI294" s="35"/>
      <c r="AJ294" s="35"/>
      <c r="AK294" s="104"/>
      <c r="AL294" s="35"/>
      <c r="AM294" s="35"/>
      <c r="AN294" s="36"/>
      <c r="AO294" s="36"/>
      <c r="AP294" s="36"/>
      <c r="AQ294" s="36"/>
      <c r="AR294" s="36"/>
      <c r="AS294" s="36"/>
      <c r="AT294" s="36"/>
      <c r="AU294" s="36"/>
      <c r="AV294" s="36"/>
      <c r="AW294" s="36"/>
      <c r="AX294" s="36"/>
      <c r="AY294" s="36"/>
      <c r="AZ294" s="36"/>
      <c r="BA294" s="36"/>
      <c r="BB294" s="36"/>
      <c r="BC294" s="36"/>
      <c r="BD294" s="36"/>
      <c r="BE294" s="36"/>
    </row>
    <row r="295" spans="2:59" s="30" customFormat="1" ht="45" x14ac:dyDescent="0.2">
      <c r="B295" s="76" t="s">
        <v>544</v>
      </c>
      <c r="C295" s="156"/>
      <c r="D295" s="81" t="s">
        <v>163</v>
      </c>
      <c r="G295" s="33"/>
      <c r="H295" s="81"/>
      <c r="J295" s="32" t="s">
        <v>471</v>
      </c>
      <c r="K295" s="134">
        <f>IF(ISNUMBER(L295),L295,Muut!$F$30)</f>
        <v>9.4500000000000011</v>
      </c>
      <c r="L295" s="181"/>
      <c r="M295" s="40" t="s">
        <v>207</v>
      </c>
      <c r="N295" s="40"/>
      <c r="O295" s="259"/>
      <c r="Q295" s="34"/>
      <c r="R295" s="105" t="str">
        <f>IF(AND(ISNUMBER(K295),ISNUMBER(C295)),K295*C295,"")</f>
        <v/>
      </c>
      <c r="S295" s="98" t="s">
        <v>160</v>
      </c>
      <c r="T295" s="35"/>
      <c r="U295" s="35"/>
      <c r="V295" s="35"/>
      <c r="W295" s="35"/>
      <c r="X295" s="35"/>
      <c r="Y295" s="35"/>
      <c r="Z295" s="35"/>
      <c r="AA295" s="35"/>
      <c r="AB295" s="35"/>
      <c r="AC295" s="35"/>
      <c r="AD295" s="35"/>
      <c r="AE295" s="35"/>
      <c r="AF295" s="35"/>
      <c r="AG295" s="35"/>
      <c r="AH295" s="35"/>
      <c r="AI295" s="35"/>
      <c r="AJ295" s="35"/>
      <c r="AK295" s="35"/>
      <c r="AL295" s="35"/>
      <c r="AM295" s="35"/>
      <c r="AN295" s="36"/>
      <c r="AO295" s="36"/>
      <c r="AP295" s="36"/>
      <c r="AQ295" s="36"/>
      <c r="AR295" s="36"/>
      <c r="AS295" s="36"/>
      <c r="AT295" s="36"/>
      <c r="AU295" s="36"/>
      <c r="AV295" s="36"/>
      <c r="AW295" s="36"/>
      <c r="AX295" s="36"/>
      <c r="AY295" s="36"/>
      <c r="AZ295" s="36"/>
      <c r="BA295" s="36"/>
      <c r="BB295" s="36"/>
      <c r="BC295" s="36"/>
      <c r="BD295" s="36"/>
      <c r="BE295" s="36"/>
    </row>
    <row r="296" spans="2:59" s="30" customFormat="1" ht="15" x14ac:dyDescent="0.2">
      <c r="B296" s="166" t="s">
        <v>520</v>
      </c>
      <c r="C296" s="156"/>
      <c r="D296" s="81" t="s">
        <v>8</v>
      </c>
      <c r="E296" s="33"/>
      <c r="F296" s="33"/>
      <c r="G296" s="33"/>
      <c r="H296" s="81"/>
      <c r="J296" s="32" t="s">
        <v>472</v>
      </c>
      <c r="K296" s="108">
        <f>IF(ISNUMBER(L296),L296,Muut!$F$32)</f>
        <v>9.4500000000000011</v>
      </c>
      <c r="L296" s="181"/>
      <c r="M296" s="40" t="s">
        <v>207</v>
      </c>
      <c r="N296" s="40"/>
      <c r="O296" s="259"/>
      <c r="Q296" s="34"/>
      <c r="R296" s="105" t="str">
        <f>IF(AND(ISNUMBER(K296),ISNUMBER(C295)),-K296*C295,"")</f>
        <v/>
      </c>
      <c r="S296" s="98" t="s">
        <v>160</v>
      </c>
      <c r="T296" s="98" t="s">
        <v>473</v>
      </c>
      <c r="U296" s="35"/>
      <c r="V296" s="35"/>
      <c r="W296" s="35"/>
      <c r="X296" s="35"/>
      <c r="Y296" s="35"/>
      <c r="Z296" s="35"/>
      <c r="AA296" s="35"/>
      <c r="AB296" s="35"/>
      <c r="AC296" s="35"/>
      <c r="AD296" s="35"/>
      <c r="AE296" s="35"/>
      <c r="AF296" s="35"/>
      <c r="AG296" s="35"/>
      <c r="AH296" s="35"/>
      <c r="AI296" s="35"/>
      <c r="AJ296" s="35"/>
      <c r="AK296" s="35"/>
      <c r="AL296" s="35"/>
      <c r="AM296" s="35"/>
      <c r="AN296" s="36"/>
      <c r="AO296" s="36"/>
      <c r="AP296" s="36"/>
      <c r="AQ296" s="36"/>
      <c r="AR296" s="36"/>
      <c r="AS296" s="36"/>
      <c r="AT296" s="36"/>
      <c r="AU296" s="36"/>
      <c r="AV296" s="36"/>
      <c r="AW296" s="36"/>
      <c r="AX296" s="36"/>
      <c r="AY296" s="36"/>
      <c r="AZ296" s="36"/>
      <c r="BA296" s="36"/>
      <c r="BB296" s="36"/>
      <c r="BC296" s="36"/>
      <c r="BD296" s="36"/>
      <c r="BE296" s="36"/>
    </row>
    <row r="297" spans="2:59" s="30" customFormat="1" ht="15" x14ac:dyDescent="0.2">
      <c r="B297" s="33"/>
      <c r="C297" s="33"/>
      <c r="D297" s="33"/>
      <c r="E297" s="33"/>
      <c r="F297" s="33"/>
      <c r="G297" s="33"/>
      <c r="H297" s="81"/>
      <c r="J297" s="32"/>
      <c r="K297" s="41"/>
      <c r="L297" s="41"/>
      <c r="M297" s="40"/>
      <c r="N297" s="40"/>
      <c r="O297" s="40"/>
      <c r="Q297" s="34"/>
      <c r="R297" s="59"/>
      <c r="S297" s="98"/>
      <c r="T297" s="131"/>
      <c r="U297" s="35"/>
      <c r="V297" s="35"/>
      <c r="W297" s="35"/>
      <c r="X297" s="35"/>
      <c r="Y297" s="35"/>
      <c r="Z297" s="35"/>
      <c r="AA297" s="35"/>
      <c r="AB297" s="35"/>
      <c r="AC297" s="35"/>
      <c r="AD297" s="35"/>
      <c r="AE297" s="35"/>
      <c r="AF297" s="35"/>
      <c r="AG297" s="35"/>
      <c r="AH297" s="35"/>
      <c r="AI297" s="35"/>
      <c r="AJ297" s="35"/>
      <c r="AK297" s="35"/>
      <c r="AL297" s="35"/>
      <c r="AM297" s="35"/>
      <c r="AN297" s="36"/>
      <c r="AO297" s="36"/>
      <c r="AP297" s="36"/>
      <c r="AQ297" s="36"/>
      <c r="AR297" s="36"/>
      <c r="AS297" s="36"/>
      <c r="AT297" s="36"/>
      <c r="AU297" s="36"/>
      <c r="AV297" s="36"/>
      <c r="AW297" s="36"/>
      <c r="AX297" s="36"/>
      <c r="AY297" s="36"/>
      <c r="AZ297" s="36"/>
      <c r="BA297" s="36"/>
      <c r="BB297" s="36"/>
      <c r="BC297" s="36"/>
      <c r="BD297" s="36"/>
      <c r="BE297" s="36"/>
      <c r="BF297" s="104"/>
      <c r="BG297" s="104"/>
    </row>
    <row r="298" spans="2:59" s="192" customFormat="1" ht="23.25" x14ac:dyDescent="0.2">
      <c r="B298" s="193" t="s">
        <v>558</v>
      </c>
      <c r="C298" s="194"/>
      <c r="D298" s="195"/>
      <c r="G298" s="194"/>
      <c r="H298" s="195"/>
      <c r="J298" s="196"/>
      <c r="P298" s="197"/>
      <c r="Q298" s="198"/>
      <c r="R298" s="199"/>
      <c r="S298" s="198"/>
      <c r="T298" s="200"/>
      <c r="U298" s="201"/>
      <c r="V298" s="201"/>
      <c r="W298" s="201"/>
      <c r="X298" s="201"/>
      <c r="Y298" s="201"/>
      <c r="Z298" s="201"/>
      <c r="AA298" s="201"/>
      <c r="AB298" s="201"/>
      <c r="AC298" s="201"/>
      <c r="AD298" s="201"/>
      <c r="AE298" s="201"/>
      <c r="AF298" s="201"/>
      <c r="AG298" s="201"/>
      <c r="AH298" s="201"/>
      <c r="AI298" s="201"/>
      <c r="AJ298" s="201"/>
      <c r="AK298" s="201"/>
      <c r="AL298" s="201"/>
      <c r="AM298" s="201"/>
      <c r="AN298" s="201"/>
      <c r="AO298" s="201"/>
      <c r="AP298" s="200"/>
      <c r="AQ298" s="200"/>
      <c r="AR298" s="200"/>
      <c r="AS298" s="200"/>
      <c r="AT298" s="200"/>
      <c r="AU298" s="200"/>
      <c r="AV298" s="200"/>
      <c r="AW298" s="200"/>
      <c r="AX298" s="200"/>
      <c r="AY298" s="200"/>
      <c r="AZ298" s="200"/>
      <c r="BA298" s="200"/>
      <c r="BB298" s="200"/>
      <c r="BC298" s="200"/>
      <c r="BD298" s="200"/>
      <c r="BE298" s="200"/>
      <c r="BF298" s="200"/>
      <c r="BG298" s="200"/>
    </row>
    <row r="299" spans="2:59" s="30" customFormat="1" ht="15" x14ac:dyDescent="0.2">
      <c r="B299" s="33"/>
      <c r="C299" s="33"/>
      <c r="D299" s="33"/>
      <c r="E299" s="33"/>
      <c r="F299" s="33"/>
      <c r="G299" s="33"/>
      <c r="H299" s="81"/>
      <c r="J299" s="32"/>
      <c r="K299" s="41"/>
      <c r="L299" s="41"/>
      <c r="M299" s="40"/>
      <c r="N299" s="40"/>
      <c r="O299" s="40"/>
      <c r="Q299" s="34"/>
      <c r="R299" s="59"/>
      <c r="S299" s="98"/>
      <c r="T299" s="131"/>
      <c r="U299" s="35"/>
      <c r="V299" s="35"/>
      <c r="W299" s="35"/>
      <c r="X299" s="35"/>
      <c r="Y299" s="35"/>
      <c r="Z299" s="35"/>
      <c r="AA299" s="35"/>
      <c r="AB299" s="35"/>
      <c r="AC299" s="35"/>
      <c r="AD299" s="35"/>
      <c r="AE299" s="35"/>
      <c r="AF299" s="35"/>
      <c r="AG299" s="35"/>
      <c r="AH299" s="35"/>
      <c r="AI299" s="35"/>
      <c r="AJ299" s="35"/>
      <c r="AK299" s="35"/>
      <c r="AL299" s="35"/>
      <c r="AM299" s="35"/>
      <c r="AN299" s="36"/>
      <c r="AO299" s="36"/>
      <c r="AP299" s="36"/>
      <c r="AQ299" s="36"/>
      <c r="AR299" s="36"/>
      <c r="AS299" s="36"/>
      <c r="AT299" s="36"/>
      <c r="AU299" s="36"/>
      <c r="AV299" s="36"/>
      <c r="AW299" s="36"/>
      <c r="AX299" s="36"/>
      <c r="AY299" s="36"/>
      <c r="AZ299" s="36"/>
      <c r="BA299" s="36"/>
      <c r="BB299" s="36"/>
      <c r="BC299" s="36"/>
      <c r="BD299" s="36"/>
      <c r="BE299" s="36"/>
      <c r="BF299" s="104"/>
      <c r="BG299" s="104"/>
    </row>
    <row r="300" spans="2:59" s="289" customFormat="1" ht="18" x14ac:dyDescent="0.2">
      <c r="B300" s="286" t="s">
        <v>42</v>
      </c>
      <c r="C300" s="287"/>
      <c r="D300" s="288"/>
      <c r="G300" s="287"/>
      <c r="H300" s="288"/>
      <c r="K300" s="287"/>
      <c r="L300" s="287"/>
      <c r="M300" s="288"/>
      <c r="N300" s="288"/>
      <c r="O300" s="291"/>
      <c r="P300" s="311"/>
      <c r="Q300" s="295"/>
      <c r="R300" s="289" t="str">
        <f>IF(OR(ISNUMBER(#REF!),ISNUMBER(#REF!),ISNUMBER(#REF!)),SUM(#REF!,#REF!,#REF!),"")</f>
        <v/>
      </c>
      <c r="S300" s="294"/>
      <c r="T300" s="294"/>
      <c r="U300" s="294"/>
      <c r="V300" s="294"/>
      <c r="W300" s="294"/>
      <c r="X300" s="294"/>
      <c r="Y300" s="294"/>
      <c r="Z300" s="294"/>
      <c r="AA300" s="294"/>
      <c r="AB300" s="294"/>
      <c r="AC300" s="294"/>
      <c r="AD300" s="294"/>
      <c r="AE300" s="294"/>
      <c r="AF300" s="294"/>
      <c r="AG300" s="294"/>
      <c r="AH300" s="294"/>
      <c r="AI300" s="294"/>
      <c r="AJ300" s="294"/>
      <c r="AK300" s="294"/>
      <c r="AL300" s="294"/>
      <c r="AM300" s="294"/>
      <c r="AN300" s="295"/>
      <c r="AO300" s="295"/>
      <c r="AP300" s="295"/>
      <c r="AQ300" s="295"/>
      <c r="AR300" s="295"/>
      <c r="AS300" s="295"/>
      <c r="AT300" s="295"/>
      <c r="AU300" s="295"/>
      <c r="AV300" s="295"/>
      <c r="AW300" s="295"/>
      <c r="AX300" s="295"/>
      <c r="AY300" s="295"/>
      <c r="AZ300" s="295"/>
      <c r="BA300" s="295"/>
      <c r="BB300" s="295"/>
      <c r="BC300" s="295"/>
      <c r="BD300" s="295"/>
      <c r="BE300" s="295"/>
    </row>
    <row r="301" spans="2:59" s="30" customFormat="1" ht="15.75" x14ac:dyDescent="0.2">
      <c r="B301" s="8"/>
      <c r="C301" s="33"/>
      <c r="D301" s="81"/>
      <c r="G301" s="33" t="s">
        <v>43</v>
      </c>
      <c r="H301" s="81"/>
      <c r="K301" s="37" t="s">
        <v>297</v>
      </c>
      <c r="L301" s="37" t="s">
        <v>185</v>
      </c>
      <c r="M301" s="81"/>
      <c r="N301" s="81"/>
      <c r="O301" s="249" t="s">
        <v>584</v>
      </c>
      <c r="Q301" s="34"/>
      <c r="R301" s="35" t="s">
        <v>318</v>
      </c>
      <c r="S301" s="35"/>
      <c r="T301" s="35" t="s">
        <v>238</v>
      </c>
      <c r="U301" s="35" t="s">
        <v>239</v>
      </c>
      <c r="V301" s="35" t="s">
        <v>240</v>
      </c>
      <c r="W301" s="35" t="s">
        <v>243</v>
      </c>
      <c r="X301" s="35" t="s">
        <v>241</v>
      </c>
      <c r="Y301" s="35" t="s">
        <v>242</v>
      </c>
      <c r="Z301" s="35" t="s">
        <v>244</v>
      </c>
      <c r="AA301" s="104"/>
      <c r="AB301" s="35"/>
      <c r="AC301" s="35"/>
      <c r="AD301" s="35"/>
      <c r="AE301" s="35"/>
      <c r="AF301" s="35"/>
      <c r="AG301" s="35"/>
      <c r="AH301" s="35"/>
      <c r="AI301" s="35"/>
      <c r="AJ301" s="35"/>
      <c r="AK301" s="35"/>
      <c r="AL301" s="35"/>
      <c r="AM301" s="35"/>
      <c r="AN301" s="36"/>
      <c r="AO301" s="36"/>
      <c r="AP301" s="36"/>
      <c r="AQ301" s="36"/>
      <c r="AR301" s="36"/>
      <c r="AS301" s="36"/>
      <c r="AT301" s="36"/>
      <c r="AU301" s="36"/>
      <c r="AV301" s="36"/>
      <c r="AW301" s="36"/>
      <c r="AX301" s="36"/>
      <c r="AY301" s="36"/>
      <c r="AZ301" s="36"/>
      <c r="BA301" s="36"/>
      <c r="BB301" s="36"/>
      <c r="BC301" s="36"/>
      <c r="BD301" s="36"/>
      <c r="BE301" s="36"/>
    </row>
    <row r="302" spans="2:59" s="30" customFormat="1" ht="15" x14ac:dyDescent="0.2">
      <c r="B302" s="52" t="s">
        <v>526</v>
      </c>
      <c r="C302" s="156"/>
      <c r="D302" s="81" t="s">
        <v>215</v>
      </c>
      <c r="G302" s="156"/>
      <c r="H302" s="81" t="s">
        <v>44</v>
      </c>
      <c r="J302" s="32" t="s">
        <v>514</v>
      </c>
      <c r="K302" s="108" t="str">
        <f>IFERROR(IF(ISNUMBER(L302),L302,VLOOKUP(C304,Kalusto!$C$100:$E$105,3,FALSE)),"--")</f>
        <v>--</v>
      </c>
      <c r="L302" s="61"/>
      <c r="M302" s="75" t="str">
        <f>IF(C304=Pudotusvalikot!$J$9,"kWh/100 km",IF(C304=Pudotusvalikot!$J$6,"kg/100 km","l/100 km"))</f>
        <v>l/100 km</v>
      </c>
      <c r="N302" s="75"/>
      <c r="O302" s="250"/>
      <c r="Q302" s="34"/>
      <c r="R302" s="105">
        <f>SUM(U302:Z302)</f>
        <v>0</v>
      </c>
      <c r="S302" s="98" t="s">
        <v>160</v>
      </c>
      <c r="T302" s="46">
        <f>IF(ISNUMBER(C303*C302*G302),C303*C302*G302,"")</f>
        <v>0</v>
      </c>
      <c r="U302" s="48">
        <f>IF(ISNUMBER(T302),IF(C304=Pudotusvalikot!$J$5,(Muut!$F$16+Muut!$F$19)*(T302*K302/100),0),"")</f>
        <v>0</v>
      </c>
      <c r="V302" s="48">
        <f>IF(ISNUMBER(T302),IF(C304=Pudotusvalikot!$J$4,(Muut!$F$15+Muut!$F$18)*(T302*K302/100),0),"")</f>
        <v>0</v>
      </c>
      <c r="W302" s="48">
        <f>IF(ISNUMBER(T302),IF(C304=Pudotusvalikot!$J$6,(Muut!$F$17+Muut!$F$20)*(T302*K302/100),0),"")</f>
        <v>0</v>
      </c>
      <c r="X302" s="48">
        <f>IF(ISNUMBER(T302),IF(C304=Pudotusvalikot!$J$7,((Muut!$F$16+Muut!$F$19)*(100%-Kalusto!$O$103)+(Muut!$F$15+Muut!$F$18)*Kalusto!$O$103)*(T302*K302/100),0),"")</f>
        <v>0</v>
      </c>
      <c r="Y302" s="72">
        <f>IF(ISNUMBER(T302),IF(C304=Pudotusvalikot!$J$8,((Kalusto!$K$104)*(100%-Kalusto!$O$104)+(Kalusto!$M$104)*Kalusto!$O$104)*(Muut!$F$14+Muut!$F$13)/100*T302/1000+((Kalusto!$G$104)*(100%-Kalusto!$O$104)+(Kalusto!$I$104)*Kalusto!$O$104)*(K302+Muut!$F$19)/100*T302,0),"")</f>
        <v>0</v>
      </c>
      <c r="Z302" s="72">
        <f>IF(ISNUMBER(T302),IF(C304=Pudotusvalikot!$J$9,Kalusto!$E$105*(K302+Muut!$F$13)/100*T302/1000,0),"")</f>
        <v>0</v>
      </c>
      <c r="AA302" s="104"/>
      <c r="AB302" s="35"/>
      <c r="AC302" s="35"/>
      <c r="AD302" s="35"/>
      <c r="AE302" s="35"/>
      <c r="AF302" s="35"/>
      <c r="AG302" s="35"/>
      <c r="AH302" s="35"/>
      <c r="AI302" s="35"/>
      <c r="AJ302" s="35"/>
      <c r="AK302" s="35"/>
      <c r="AL302" s="35"/>
      <c r="AM302" s="35"/>
      <c r="AN302" s="36"/>
      <c r="AO302" s="36"/>
      <c r="AP302" s="36"/>
      <c r="AQ302" s="36"/>
      <c r="AR302" s="36"/>
      <c r="AS302" s="36"/>
      <c r="AT302" s="36"/>
      <c r="AU302" s="36"/>
      <c r="AV302" s="36"/>
      <c r="AW302" s="36"/>
      <c r="AX302" s="36"/>
      <c r="AY302" s="36"/>
      <c r="AZ302" s="36"/>
      <c r="BA302" s="36"/>
      <c r="BB302" s="36"/>
      <c r="BC302" s="36"/>
      <c r="BD302" s="36"/>
      <c r="BE302" s="36"/>
    </row>
    <row r="303" spans="2:59" s="30" customFormat="1" ht="15" x14ac:dyDescent="0.2">
      <c r="B303" s="52" t="s">
        <v>525</v>
      </c>
      <c r="C303" s="157"/>
      <c r="D303" s="81" t="s">
        <v>5</v>
      </c>
      <c r="G303" s="33"/>
      <c r="H303" s="81"/>
      <c r="J303" s="32"/>
      <c r="K303" s="33"/>
      <c r="L303" s="33"/>
      <c r="M303" s="81"/>
      <c r="N303" s="81"/>
      <c r="O303" s="96"/>
      <c r="Q303" s="34"/>
      <c r="R303" s="95"/>
      <c r="S303" s="35"/>
      <c r="T303" s="35"/>
      <c r="U303" s="35"/>
      <c r="V303" s="35"/>
      <c r="W303" s="35"/>
      <c r="X303" s="35"/>
      <c r="Y303" s="35"/>
      <c r="Z303" s="35"/>
      <c r="AA303" s="35"/>
      <c r="AB303" s="35"/>
      <c r="AC303" s="35"/>
      <c r="AD303" s="35"/>
      <c r="AE303" s="35"/>
      <c r="AF303" s="35"/>
      <c r="AG303" s="35"/>
      <c r="AH303" s="35"/>
      <c r="AI303" s="35"/>
      <c r="AJ303" s="35"/>
      <c r="AK303" s="35"/>
      <c r="AL303" s="35"/>
      <c r="AM303" s="35"/>
      <c r="AN303" s="36"/>
      <c r="AO303" s="36"/>
      <c r="AP303" s="36"/>
      <c r="AQ303" s="36"/>
      <c r="AR303" s="36"/>
      <c r="AS303" s="36"/>
      <c r="AT303" s="36"/>
      <c r="AU303" s="36"/>
      <c r="AV303" s="36"/>
      <c r="AW303" s="36"/>
      <c r="AX303" s="36"/>
      <c r="AY303" s="36"/>
      <c r="AZ303" s="36"/>
      <c r="BA303" s="36"/>
      <c r="BB303" s="36"/>
      <c r="BC303" s="36"/>
      <c r="BD303" s="36"/>
      <c r="BE303" s="36"/>
    </row>
    <row r="304" spans="2:59" s="30" customFormat="1" ht="15" x14ac:dyDescent="0.2">
      <c r="B304" s="52" t="s">
        <v>524</v>
      </c>
      <c r="C304" s="474" t="s">
        <v>309</v>
      </c>
      <c r="D304" s="474"/>
      <c r="G304" s="33"/>
      <c r="H304" s="81"/>
      <c r="J304" s="32"/>
      <c r="K304" s="33"/>
      <c r="L304" s="33"/>
      <c r="M304" s="81"/>
      <c r="N304" s="81"/>
      <c r="O304" s="96"/>
      <c r="Q304" s="34"/>
      <c r="R304" s="95"/>
      <c r="S304" s="35"/>
      <c r="T304" s="35"/>
      <c r="U304" s="35"/>
      <c r="V304" s="35"/>
      <c r="W304" s="35"/>
      <c r="X304" s="35"/>
      <c r="Y304" s="35"/>
      <c r="Z304" s="35"/>
      <c r="AA304" s="35"/>
      <c r="AB304" s="35"/>
      <c r="AC304" s="35"/>
      <c r="AD304" s="35"/>
      <c r="AE304" s="35"/>
      <c r="AF304" s="35"/>
      <c r="AG304" s="35"/>
      <c r="AH304" s="35"/>
      <c r="AI304" s="35"/>
      <c r="AJ304" s="35"/>
      <c r="AK304" s="35"/>
      <c r="AL304" s="35"/>
      <c r="AM304" s="35"/>
      <c r="AN304" s="36"/>
      <c r="AO304" s="36"/>
      <c r="AP304" s="36"/>
      <c r="AQ304" s="36"/>
      <c r="AR304" s="36"/>
      <c r="AS304" s="36"/>
      <c r="AT304" s="36"/>
      <c r="AU304" s="36"/>
      <c r="AV304" s="36"/>
      <c r="AW304" s="36"/>
      <c r="AX304" s="36"/>
      <c r="AY304" s="36"/>
      <c r="AZ304" s="36"/>
      <c r="BA304" s="36"/>
      <c r="BB304" s="36"/>
      <c r="BC304" s="36"/>
      <c r="BD304" s="36"/>
      <c r="BE304" s="36"/>
    </row>
    <row r="306" ht="13.9" hidden="1" customHeight="1" x14ac:dyDescent="0.2"/>
    <row r="307" ht="13.9" hidden="1" customHeight="1" x14ac:dyDescent="0.2"/>
    <row r="308" ht="13.9" hidden="1" customHeight="1" x14ac:dyDescent="0.2"/>
    <row r="309" ht="13.9" hidden="1" customHeight="1" x14ac:dyDescent="0.2"/>
    <row r="310" ht="13.9" hidden="1" customHeight="1" x14ac:dyDescent="0.2"/>
    <row r="311" ht="13.9" hidden="1" customHeight="1" x14ac:dyDescent="0.2"/>
    <row r="312" ht="13.9" hidden="1" customHeight="1" x14ac:dyDescent="0.2"/>
    <row r="313" ht="13.9" hidden="1" customHeight="1" x14ac:dyDescent="0.2"/>
    <row r="314" ht="13.9" hidden="1" customHeight="1" x14ac:dyDescent="0.2"/>
    <row r="315" ht="13.9" hidden="1" customHeight="1" x14ac:dyDescent="0.2"/>
    <row r="316" ht="13.9" hidden="1" customHeight="1" x14ac:dyDescent="0.2"/>
    <row r="317" ht="13.9" hidden="1" customHeight="1" x14ac:dyDescent="0.2"/>
    <row r="318" ht="13.9" hidden="1" customHeight="1" x14ac:dyDescent="0.2"/>
    <row r="319" ht="13.9" hidden="1" customHeight="1" x14ac:dyDescent="0.2"/>
    <row r="320" ht="13.9" hidden="1" customHeight="1" x14ac:dyDescent="0.2"/>
    <row r="321" ht="13.9" hidden="1" customHeight="1" x14ac:dyDescent="0.2"/>
    <row r="322" ht="13.9" hidden="1" customHeight="1" x14ac:dyDescent="0.2"/>
    <row r="323" ht="13.9" hidden="1" customHeight="1" x14ac:dyDescent="0.2"/>
    <row r="324" ht="13.9" hidden="1" customHeight="1" x14ac:dyDescent="0.2"/>
    <row r="325" ht="13.9" hidden="1" customHeight="1" x14ac:dyDescent="0.2"/>
    <row r="326" ht="13.9" hidden="1" customHeight="1" x14ac:dyDescent="0.2"/>
    <row r="327" ht="13.9" hidden="1" customHeight="1" x14ac:dyDescent="0.2"/>
    <row r="328" ht="13.9" hidden="1" customHeight="1" x14ac:dyDescent="0.2"/>
    <row r="329" ht="13.9" hidden="1" customHeight="1" x14ac:dyDescent="0.2"/>
    <row r="330" ht="13.9" hidden="1" customHeight="1" x14ac:dyDescent="0.2"/>
    <row r="331" ht="13.9" hidden="1" customHeight="1" x14ac:dyDescent="0.2"/>
    <row r="332" ht="13.9" hidden="1" customHeight="1" x14ac:dyDescent="0.2"/>
    <row r="333" ht="13.9" hidden="1" customHeight="1" x14ac:dyDescent="0.2"/>
    <row r="334" ht="13.9" hidden="1" customHeight="1" x14ac:dyDescent="0.2"/>
    <row r="335" ht="13.9" hidden="1" customHeight="1" x14ac:dyDescent="0.2"/>
    <row r="336" ht="13.9" hidden="1" customHeight="1" x14ac:dyDescent="0.2"/>
    <row r="337" ht="13.9" hidden="1" customHeight="1" x14ac:dyDescent="0.2"/>
    <row r="338" ht="13.9" hidden="1" customHeight="1" x14ac:dyDescent="0.2"/>
    <row r="339" ht="13.9" hidden="1" customHeight="1" x14ac:dyDescent="0.2"/>
    <row r="340" ht="13.9" hidden="1" customHeight="1" x14ac:dyDescent="0.2"/>
    <row r="341" ht="13.9" hidden="1" customHeight="1" x14ac:dyDescent="0.2"/>
    <row r="342" ht="13.9" hidden="1" customHeight="1" x14ac:dyDescent="0.2"/>
    <row r="343" ht="13.9" hidden="1" customHeight="1" x14ac:dyDescent="0.2"/>
    <row r="344" ht="13.9" hidden="1" customHeight="1" x14ac:dyDescent="0.2"/>
    <row r="345" ht="13.9" hidden="1" customHeight="1" x14ac:dyDescent="0.2"/>
    <row r="346" ht="13.9" hidden="1" customHeight="1" x14ac:dyDescent="0.2"/>
    <row r="347" ht="13.9" hidden="1" customHeight="1" x14ac:dyDescent="0.2"/>
    <row r="348" ht="13.9" hidden="1" customHeight="1" x14ac:dyDescent="0.2"/>
    <row r="349" ht="13.9" hidden="1" customHeight="1" x14ac:dyDescent="0.2"/>
    <row r="350" ht="13.9" hidden="1" customHeight="1" x14ac:dyDescent="0.2"/>
    <row r="351" ht="13.9" hidden="1" customHeight="1" x14ac:dyDescent="0.2"/>
    <row r="352" ht="13.9" hidden="1" customHeight="1" x14ac:dyDescent="0.2"/>
    <row r="353" ht="13.9" hidden="1" customHeight="1" x14ac:dyDescent="0.2"/>
    <row r="354" ht="13.9" hidden="1" customHeight="1" x14ac:dyDescent="0.2"/>
    <row r="355" ht="13.9" hidden="1" customHeight="1" x14ac:dyDescent="0.2"/>
    <row r="356" ht="13.9" hidden="1" customHeight="1" x14ac:dyDescent="0.2"/>
    <row r="357" ht="13.9" hidden="1" customHeight="1" x14ac:dyDescent="0.2"/>
    <row r="358" ht="13.9" hidden="1" customHeight="1" x14ac:dyDescent="0.2"/>
    <row r="359" ht="13.9" hidden="1" customHeight="1" x14ac:dyDescent="0.2"/>
    <row r="360" ht="13.9" hidden="1" customHeight="1" x14ac:dyDescent="0.2"/>
    <row r="361" ht="13.9" hidden="1" customHeight="1" x14ac:dyDescent="0.2"/>
    <row r="362" ht="13.9" hidden="1" customHeight="1" x14ac:dyDescent="0.2"/>
    <row r="363" ht="13.9" hidden="1" customHeight="1" x14ac:dyDescent="0.2"/>
    <row r="364" ht="13.9" hidden="1" customHeight="1" x14ac:dyDescent="0.2"/>
    <row r="365" ht="13.9" hidden="1" customHeight="1" x14ac:dyDescent="0.2"/>
    <row r="366" ht="13.9" hidden="1" customHeight="1" x14ac:dyDescent="0.2"/>
    <row r="367" ht="13.9" hidden="1" customHeight="1" x14ac:dyDescent="0.2"/>
    <row r="368" ht="13.9" hidden="1" customHeight="1" x14ac:dyDescent="0.2"/>
    <row r="369" ht="13.9" hidden="1" customHeight="1" x14ac:dyDescent="0.2"/>
    <row r="370" ht="13.9" hidden="1" customHeight="1" x14ac:dyDescent="0.2"/>
    <row r="371" ht="13.9" hidden="1" customHeight="1" x14ac:dyDescent="0.2"/>
    <row r="372" ht="13.9" hidden="1" customHeight="1" x14ac:dyDescent="0.2"/>
    <row r="373" ht="13.9" hidden="1" customHeight="1" x14ac:dyDescent="0.2"/>
    <row r="374" ht="13.9" hidden="1" customHeight="1" x14ac:dyDescent="0.2"/>
    <row r="375" ht="13.9" hidden="1" customHeight="1" x14ac:dyDescent="0.2"/>
    <row r="376" ht="13.9" hidden="1" customHeight="1" x14ac:dyDescent="0.2"/>
    <row r="377" ht="13.9" hidden="1" customHeight="1" x14ac:dyDescent="0.2"/>
    <row r="378" ht="13.9" hidden="1" customHeight="1" x14ac:dyDescent="0.2"/>
    <row r="379" ht="13.9" hidden="1" customHeight="1" x14ac:dyDescent="0.2"/>
    <row r="380" ht="13.9" hidden="1" customHeight="1" x14ac:dyDescent="0.2"/>
    <row r="381" ht="13.9" hidden="1" customHeight="1" x14ac:dyDescent="0.2"/>
    <row r="382" ht="13.9" hidden="1" customHeight="1" x14ac:dyDescent="0.2"/>
    <row r="383" ht="13.9" hidden="1" customHeight="1" x14ac:dyDescent="0.2"/>
    <row r="384" ht="13.9" hidden="1" customHeight="1" x14ac:dyDescent="0.2"/>
    <row r="385" ht="13.9" hidden="1" customHeight="1" x14ac:dyDescent="0.2"/>
    <row r="386" ht="13.9" hidden="1" customHeight="1" x14ac:dyDescent="0.2"/>
    <row r="387" ht="13.9" hidden="1" customHeight="1" x14ac:dyDescent="0.2"/>
    <row r="388" ht="13.9" hidden="1" customHeight="1" x14ac:dyDescent="0.2"/>
    <row r="389" ht="13.9" hidden="1" customHeight="1" x14ac:dyDescent="0.2"/>
    <row r="390" ht="13.9" hidden="1" customHeight="1" x14ac:dyDescent="0.2"/>
    <row r="391" ht="13.9" hidden="1" customHeight="1" x14ac:dyDescent="0.2"/>
    <row r="392" ht="13.9" hidden="1" customHeight="1" x14ac:dyDescent="0.2"/>
    <row r="393" ht="13.9" hidden="1" customHeight="1" x14ac:dyDescent="0.2"/>
    <row r="394" ht="13.9" hidden="1" customHeight="1" x14ac:dyDescent="0.2"/>
    <row r="395" ht="13.9" hidden="1" customHeight="1" x14ac:dyDescent="0.2"/>
    <row r="396" ht="13.9" hidden="1" customHeight="1" x14ac:dyDescent="0.2"/>
    <row r="397" ht="13.9" hidden="1" customHeight="1" x14ac:dyDescent="0.2"/>
    <row r="398" ht="13.9" hidden="1" customHeight="1" x14ac:dyDescent="0.2"/>
    <row r="399" ht="13.9" hidden="1" customHeight="1" x14ac:dyDescent="0.2"/>
    <row r="400" ht="13.9" hidden="1" customHeight="1" x14ac:dyDescent="0.2"/>
    <row r="401" spans="7:59" ht="13.9" customHeight="1" x14ac:dyDescent="0.2">
      <c r="G401" s="12"/>
      <c r="M401" s="84"/>
      <c r="N401" s="84"/>
      <c r="O401" s="84"/>
      <c r="Q401" s="23"/>
      <c r="R401" s="361" t="s">
        <v>314</v>
      </c>
      <c r="S401" s="21"/>
      <c r="T401" s="227"/>
      <c r="U401" s="228"/>
      <c r="V401" s="228"/>
      <c r="W401" s="228"/>
      <c r="X401" s="228"/>
      <c r="Y401" s="228"/>
      <c r="Z401" s="228"/>
      <c r="AA401" s="228"/>
      <c r="AB401" s="228"/>
      <c r="AC401" s="228"/>
      <c r="AD401" s="228"/>
      <c r="AN401" s="22"/>
      <c r="AO401" s="22"/>
      <c r="BF401" s="5"/>
      <c r="BG401" s="5"/>
    </row>
    <row r="402" spans="7:59" ht="13.9" customHeight="1" x14ac:dyDescent="0.2">
      <c r="G402" s="12"/>
      <c r="M402" s="84"/>
      <c r="N402" s="84"/>
      <c r="O402" s="84"/>
      <c r="Q402" s="23"/>
      <c r="R402" s="238"/>
      <c r="S402" s="361" t="s">
        <v>58</v>
      </c>
      <c r="T402" s="227"/>
      <c r="U402" s="228"/>
      <c r="V402" s="228"/>
      <c r="W402" s="228"/>
      <c r="X402" s="228"/>
      <c r="Y402" s="228" t="s">
        <v>160</v>
      </c>
      <c r="Z402" s="228" t="s">
        <v>596</v>
      </c>
      <c r="AA402" s="228"/>
      <c r="AB402" s="228"/>
      <c r="AC402" s="228"/>
      <c r="AD402" s="228"/>
      <c r="AN402" s="22"/>
      <c r="AO402" s="22"/>
      <c r="BF402" s="5"/>
      <c r="BG402" s="5"/>
    </row>
    <row r="403" spans="7:59" ht="13.9" customHeight="1" x14ac:dyDescent="0.2">
      <c r="G403" s="12"/>
      <c r="M403" s="84"/>
      <c r="N403" s="84"/>
      <c r="O403" s="84"/>
      <c r="Q403" s="23"/>
      <c r="R403" s="238"/>
      <c r="S403" s="279" t="str">
        <f>B8</f>
        <v>Käsittelyssä tarvittavien työkoneiden ja muun työmaakaluston kuljetus alueelle sekä niiden kuljetus alueelta pois käsittelyn päättyessä</v>
      </c>
      <c r="T403" s="280"/>
      <c r="U403" s="281"/>
      <c r="V403" s="281"/>
      <c r="W403" s="281" t="s">
        <v>662</v>
      </c>
      <c r="X403" s="281" t="s">
        <v>612</v>
      </c>
      <c r="Y403" s="282">
        <f>SUM(Y404,Y407)</f>
        <v>0</v>
      </c>
      <c r="Z403" s="283" t="str">
        <f t="shared" ref="Z403:Z436" si="4">IF(ISERROR(Y403/$Y$438),"--",Y403/$Y$438)</f>
        <v>--</v>
      </c>
      <c r="AA403" s="228"/>
      <c r="AB403" s="228"/>
      <c r="AC403" s="228"/>
      <c r="AD403" s="228"/>
      <c r="AN403" s="22"/>
      <c r="AO403" s="22"/>
      <c r="BF403" s="5"/>
      <c r="BG403" s="5"/>
    </row>
    <row r="404" spans="7:59" ht="13.9" customHeight="1" x14ac:dyDescent="0.2">
      <c r="G404" s="12"/>
      <c r="M404" s="84"/>
      <c r="N404" s="84"/>
      <c r="O404" s="84"/>
      <c r="Q404" s="23"/>
      <c r="R404" s="238"/>
      <c r="S404" s="207" t="s">
        <v>569</v>
      </c>
      <c r="T404" s="228"/>
      <c r="U404" s="228"/>
      <c r="V404" s="228"/>
      <c r="W404" s="228" t="s">
        <v>662</v>
      </c>
      <c r="X404" s="228" t="s">
        <v>316</v>
      </c>
      <c r="Y404" s="229">
        <f>SUM(Y405:Y406)</f>
        <v>0</v>
      </c>
      <c r="Z404" s="277" t="str">
        <f t="shared" si="4"/>
        <v>--</v>
      </c>
      <c r="AA404" s="228"/>
      <c r="AB404" s="228"/>
      <c r="AC404" s="228"/>
      <c r="AD404" s="228"/>
      <c r="AN404" s="22"/>
      <c r="AO404" s="22"/>
      <c r="BF404" s="5"/>
      <c r="BG404" s="5"/>
    </row>
    <row r="405" spans="7:59" ht="13.9" customHeight="1" x14ac:dyDescent="0.2">
      <c r="G405" s="12"/>
      <c r="M405" s="84"/>
      <c r="N405" s="84"/>
      <c r="O405" s="84"/>
      <c r="Q405" s="23"/>
      <c r="R405" s="238"/>
      <c r="S405" s="246" t="s">
        <v>40</v>
      </c>
      <c r="T405" s="228"/>
      <c r="U405" s="228"/>
      <c r="V405" s="228"/>
      <c r="W405" s="228" t="s">
        <v>40</v>
      </c>
      <c r="X405" s="228"/>
      <c r="Y405" s="229">
        <f>SUM(AB11,AB16,AB21)</f>
        <v>0</v>
      </c>
      <c r="Z405" s="277" t="str">
        <f t="shared" si="4"/>
        <v>--</v>
      </c>
      <c r="AA405" s="228"/>
      <c r="AB405" s="228"/>
      <c r="AC405" s="228"/>
      <c r="AD405" s="228"/>
      <c r="AN405" s="22"/>
      <c r="AO405" s="22"/>
      <c r="BF405" s="5"/>
      <c r="BG405" s="5"/>
    </row>
    <row r="406" spans="7:59" ht="13.9" customHeight="1" x14ac:dyDescent="0.2">
      <c r="G406" s="12"/>
      <c r="M406" s="84"/>
      <c r="N406" s="84"/>
      <c r="O406" s="84"/>
      <c r="Q406" s="23"/>
      <c r="R406" s="238"/>
      <c r="S406" s="246" t="s">
        <v>577</v>
      </c>
      <c r="T406" s="228"/>
      <c r="U406" s="228"/>
      <c r="V406" s="228"/>
      <c r="W406" s="228" t="s">
        <v>40</v>
      </c>
      <c r="X406" s="228"/>
      <c r="Y406" s="229">
        <f>SUM(AG21,AG16,AG11)</f>
        <v>0</v>
      </c>
      <c r="Z406" s="277" t="str">
        <f t="shared" si="4"/>
        <v>--</v>
      </c>
      <c r="AA406" s="228"/>
      <c r="AB406" s="228"/>
      <c r="AC406" s="228"/>
      <c r="AD406" s="228"/>
      <c r="AN406" s="22"/>
      <c r="AO406" s="22"/>
      <c r="BF406" s="5"/>
      <c r="BG406" s="5"/>
    </row>
    <row r="407" spans="7:59" ht="13.9" customHeight="1" x14ac:dyDescent="0.2">
      <c r="G407" s="12"/>
      <c r="M407" s="84"/>
      <c r="N407" s="84"/>
      <c r="O407" s="84"/>
      <c r="Q407" s="23"/>
      <c r="R407" s="238"/>
      <c r="S407" s="207" t="s">
        <v>570</v>
      </c>
      <c r="T407" s="228"/>
      <c r="U407" s="228"/>
      <c r="V407" s="228"/>
      <c r="W407" s="228" t="s">
        <v>662</v>
      </c>
      <c r="X407" s="228" t="s">
        <v>611</v>
      </c>
      <c r="Y407" s="229">
        <f>SUM(Y408:Y409)</f>
        <v>0</v>
      </c>
      <c r="Z407" s="277" t="str">
        <f t="shared" si="4"/>
        <v>--</v>
      </c>
      <c r="AA407" s="228"/>
      <c r="AB407" s="228"/>
      <c r="AC407" s="228"/>
      <c r="AD407" s="228"/>
      <c r="AN407" s="22"/>
      <c r="AO407" s="22"/>
      <c r="BF407" s="5"/>
      <c r="BG407" s="5"/>
    </row>
    <row r="408" spans="7:59" ht="13.9" customHeight="1" x14ac:dyDescent="0.2">
      <c r="G408" s="12"/>
      <c r="M408" s="84"/>
      <c r="N408" s="84"/>
      <c r="O408" s="84"/>
      <c r="Q408" s="23"/>
      <c r="R408" s="238"/>
      <c r="S408" s="246" t="s">
        <v>40</v>
      </c>
      <c r="T408" s="228"/>
      <c r="U408" s="228"/>
      <c r="V408" s="228"/>
      <c r="W408" s="228" t="s">
        <v>40</v>
      </c>
      <c r="X408" s="228"/>
      <c r="Y408" s="229">
        <f>SUM(AB21,AB16,AB11)</f>
        <v>0</v>
      </c>
      <c r="Z408" s="277" t="str">
        <f t="shared" si="4"/>
        <v>--</v>
      </c>
      <c r="AA408" s="228"/>
      <c r="AB408" s="228"/>
      <c r="AC408" s="228"/>
      <c r="AD408" s="228"/>
      <c r="AN408" s="22"/>
      <c r="AO408" s="22"/>
      <c r="BF408" s="5"/>
      <c r="BG408" s="5"/>
    </row>
    <row r="409" spans="7:59" ht="13.9" customHeight="1" x14ac:dyDescent="0.2">
      <c r="G409" s="12"/>
      <c r="M409" s="84"/>
      <c r="N409" s="84"/>
      <c r="O409" s="84"/>
      <c r="Q409" s="23"/>
      <c r="R409" s="238"/>
      <c r="S409" s="246" t="s">
        <v>577</v>
      </c>
      <c r="T409" s="228"/>
      <c r="U409" s="228"/>
      <c r="V409" s="228"/>
      <c r="W409" s="228" t="s">
        <v>40</v>
      </c>
      <c r="X409" s="228"/>
      <c r="Y409" s="229">
        <f>SUM(AG21,AG16,AG11)</f>
        <v>0</v>
      </c>
      <c r="Z409" s="277" t="str">
        <f t="shared" si="4"/>
        <v>--</v>
      </c>
      <c r="AA409" s="228"/>
      <c r="AB409" s="228"/>
      <c r="AC409" s="228"/>
      <c r="AD409" s="228"/>
      <c r="AN409" s="22"/>
      <c r="AO409" s="22"/>
      <c r="BF409" s="5"/>
      <c r="BG409" s="5"/>
    </row>
    <row r="410" spans="7:59" ht="13.9" customHeight="1" x14ac:dyDescent="0.2">
      <c r="G410" s="12"/>
      <c r="M410" s="84"/>
      <c r="N410" s="84"/>
      <c r="O410" s="84"/>
      <c r="Q410" s="23"/>
      <c r="R410" s="238"/>
      <c r="S410" s="279" t="str">
        <f>B28</f>
        <v>Käsittelyä varten tehtävät puuston, asfalttipintojen  tai rakenteiden poisto</v>
      </c>
      <c r="T410" s="280"/>
      <c r="U410" s="281"/>
      <c r="V410" s="281"/>
      <c r="W410" s="281" t="s">
        <v>663</v>
      </c>
      <c r="X410" s="281" t="s">
        <v>316</v>
      </c>
      <c r="Y410" s="282">
        <f>SUM(Y411,Y412,Y413)</f>
        <v>0</v>
      </c>
      <c r="Z410" s="283" t="str">
        <f t="shared" si="4"/>
        <v>--</v>
      </c>
      <c r="AA410" s="228"/>
      <c r="AB410" s="228"/>
      <c r="AC410" s="228"/>
      <c r="AD410" s="228"/>
      <c r="AN410" s="22"/>
      <c r="AO410" s="22"/>
      <c r="BF410" s="5"/>
      <c r="BG410" s="5"/>
    </row>
    <row r="411" spans="7:59" ht="13.9" customHeight="1" x14ac:dyDescent="0.2">
      <c r="G411" s="12"/>
      <c r="M411" s="84"/>
      <c r="N411" s="84"/>
      <c r="O411" s="84"/>
      <c r="Q411" s="23"/>
      <c r="R411" s="238"/>
      <c r="S411" s="207" t="s">
        <v>574</v>
      </c>
      <c r="T411" s="228"/>
      <c r="U411" s="228"/>
      <c r="V411" s="228"/>
      <c r="W411" s="228" t="s">
        <v>595</v>
      </c>
      <c r="X411" s="228" t="s">
        <v>316</v>
      </c>
      <c r="Y411" s="229">
        <f>SUM(R31)</f>
        <v>0</v>
      </c>
      <c r="Z411" s="277" t="str">
        <f t="shared" si="4"/>
        <v>--</v>
      </c>
      <c r="AA411" s="228"/>
      <c r="AB411" s="228"/>
      <c r="AC411" s="228"/>
      <c r="AD411" s="228"/>
      <c r="AN411" s="22"/>
      <c r="AO411" s="22"/>
      <c r="BF411" s="5"/>
      <c r="BG411" s="5"/>
    </row>
    <row r="412" spans="7:59" ht="13.9" customHeight="1" x14ac:dyDescent="0.2">
      <c r="G412" s="12"/>
      <c r="M412" s="84"/>
      <c r="N412" s="84"/>
      <c r="O412" s="84"/>
      <c r="Q412" s="23"/>
      <c r="R412" s="238"/>
      <c r="S412" s="207" t="s">
        <v>571</v>
      </c>
      <c r="T412" s="228"/>
      <c r="U412" s="228"/>
      <c r="V412" s="228"/>
      <c r="W412" s="228" t="s">
        <v>595</v>
      </c>
      <c r="X412" s="228" t="s">
        <v>575</v>
      </c>
      <c r="Y412" s="229">
        <f>SUM(R32)</f>
        <v>0</v>
      </c>
      <c r="Z412" s="277" t="str">
        <f t="shared" si="4"/>
        <v>--</v>
      </c>
      <c r="AA412" s="228"/>
      <c r="AB412" s="228"/>
      <c r="AC412" s="228"/>
      <c r="AD412" s="228"/>
      <c r="AN412" s="22"/>
      <c r="AO412" s="22"/>
      <c r="BF412" s="5"/>
      <c r="BG412" s="5"/>
    </row>
    <row r="413" spans="7:59" ht="13.9" customHeight="1" x14ac:dyDescent="0.2">
      <c r="G413" s="12"/>
      <c r="M413" s="84"/>
      <c r="N413" s="84"/>
      <c r="O413" s="84"/>
      <c r="Q413" s="23"/>
      <c r="R413" s="238"/>
      <c r="S413" s="207" t="s">
        <v>55</v>
      </c>
      <c r="T413" s="228"/>
      <c r="U413" s="228"/>
      <c r="V413" s="228"/>
      <c r="W413" s="228" t="s">
        <v>595</v>
      </c>
      <c r="X413" s="228" t="s">
        <v>316</v>
      </c>
      <c r="Y413" s="229">
        <f>SUM(R34)</f>
        <v>0</v>
      </c>
      <c r="Z413" s="277" t="str">
        <f t="shared" si="4"/>
        <v>--</v>
      </c>
      <c r="AA413" s="228"/>
      <c r="AB413" s="228"/>
      <c r="AC413" s="228"/>
      <c r="AD413" s="228"/>
      <c r="AN413" s="22"/>
      <c r="AO413" s="22"/>
      <c r="BF413" s="5"/>
      <c r="BG413" s="5"/>
    </row>
    <row r="414" spans="7:59" ht="13.9" customHeight="1" x14ac:dyDescent="0.2">
      <c r="G414" s="12"/>
      <c r="M414" s="84"/>
      <c r="N414" s="84"/>
      <c r="O414" s="84"/>
      <c r="Q414" s="23"/>
      <c r="R414" s="238"/>
      <c r="S414" s="279" t="str">
        <f>B37</f>
        <v>Valmisteluvaiheessa tarvittavat työkoneet</v>
      </c>
      <c r="T414" s="280"/>
      <c r="U414" s="281"/>
      <c r="V414" s="281"/>
      <c r="W414" s="281" t="s">
        <v>595</v>
      </c>
      <c r="X414" s="281" t="s">
        <v>316</v>
      </c>
      <c r="Y414" s="282">
        <f>SUM(R40,R44,R48)</f>
        <v>0</v>
      </c>
      <c r="Z414" s="283" t="str">
        <f t="shared" si="4"/>
        <v>--</v>
      </c>
      <c r="AA414" s="228"/>
      <c r="AB414" s="228"/>
      <c r="AC414" s="228"/>
      <c r="AD414" s="228"/>
      <c r="AN414" s="22"/>
      <c r="AO414" s="22"/>
      <c r="BF414" s="5"/>
      <c r="BG414" s="5"/>
    </row>
    <row r="415" spans="7:59" ht="13.9" customHeight="1" x14ac:dyDescent="0.2">
      <c r="G415" s="12"/>
      <c r="M415" s="84"/>
      <c r="N415" s="84"/>
      <c r="O415" s="84"/>
      <c r="Q415" s="23"/>
      <c r="R415" s="238"/>
      <c r="S415" s="279" t="str">
        <f>B52</f>
        <v>Mahdollisten käsittelyssä poistettavien maa-ainesten ja purkumateriaalien kuljetukset pois alueelta</v>
      </c>
      <c r="T415" s="280"/>
      <c r="U415" s="281"/>
      <c r="V415" s="281"/>
      <c r="W415" s="281" t="s">
        <v>662</v>
      </c>
      <c r="X415" s="281" t="s">
        <v>602</v>
      </c>
      <c r="Y415" s="282">
        <f>SUM(Y416:Y417)</f>
        <v>0</v>
      </c>
      <c r="Z415" s="283" t="str">
        <f t="shared" si="4"/>
        <v>--</v>
      </c>
      <c r="AA415" s="228"/>
      <c r="AB415" s="228"/>
      <c r="AC415" s="228"/>
      <c r="AD415" s="228"/>
      <c r="AN415" s="22"/>
      <c r="AO415" s="22"/>
      <c r="BF415" s="5"/>
      <c r="BG415" s="5"/>
    </row>
    <row r="416" spans="7:59" ht="13.9" customHeight="1" x14ac:dyDescent="0.2">
      <c r="G416" s="12"/>
      <c r="M416" s="84"/>
      <c r="N416" s="84"/>
      <c r="O416" s="84"/>
      <c r="Q416" s="23"/>
      <c r="R416" s="238"/>
      <c r="S416" s="207" t="s">
        <v>40</v>
      </c>
      <c r="T416" s="227"/>
      <c r="U416" s="228"/>
      <c r="V416" s="228"/>
      <c r="W416" s="228" t="s">
        <v>40</v>
      </c>
      <c r="X416" s="228" t="s">
        <v>602</v>
      </c>
      <c r="Y416" s="229">
        <f>SUM(AB56,AB61,AB66,AB71,AB76)</f>
        <v>0</v>
      </c>
      <c r="Z416" s="277" t="str">
        <f t="shared" si="4"/>
        <v>--</v>
      </c>
      <c r="AA416" s="228"/>
      <c r="AB416" s="228"/>
      <c r="AC416" s="228"/>
      <c r="AD416" s="228"/>
      <c r="AN416" s="22"/>
      <c r="AO416" s="22"/>
      <c r="BF416" s="5"/>
      <c r="BG416" s="5"/>
    </row>
    <row r="417" spans="7:59" ht="13.9" customHeight="1" x14ac:dyDescent="0.2">
      <c r="G417" s="12"/>
      <c r="M417" s="84"/>
      <c r="N417" s="84"/>
      <c r="O417" s="84"/>
      <c r="Q417" s="23"/>
      <c r="R417" s="238"/>
      <c r="S417" s="207" t="s">
        <v>577</v>
      </c>
      <c r="T417" s="227"/>
      <c r="U417" s="228"/>
      <c r="V417" s="228"/>
      <c r="W417" s="228" t="s">
        <v>40</v>
      </c>
      <c r="X417" s="228" t="s">
        <v>602</v>
      </c>
      <c r="Y417" s="229">
        <f>SUM(AG56,AG61,AG66,AG71,AG76)</f>
        <v>0</v>
      </c>
      <c r="Z417" s="277" t="str">
        <f t="shared" si="4"/>
        <v>--</v>
      </c>
      <c r="AA417" s="228"/>
      <c r="AB417" s="228"/>
      <c r="AC417" s="228"/>
      <c r="AD417" s="228"/>
      <c r="AN417" s="22"/>
      <c r="AO417" s="22"/>
      <c r="BF417" s="5"/>
      <c r="BG417" s="5"/>
    </row>
    <row r="418" spans="7:59" ht="13.9" customHeight="1" x14ac:dyDescent="0.2">
      <c r="G418" s="12"/>
      <c r="M418" s="84"/>
      <c r="N418" s="84"/>
      <c r="O418" s="84"/>
      <c r="Q418" s="23"/>
      <c r="R418" s="238"/>
      <c r="S418" s="279" t="str">
        <f>B83</f>
        <v>Mahdollisten korvaavien maa-ainesten määrä</v>
      </c>
      <c r="T418" s="280"/>
      <c r="U418" s="281"/>
      <c r="V418" s="281"/>
      <c r="W418" s="281" t="s">
        <v>594</v>
      </c>
      <c r="X418" s="281" t="s">
        <v>602</v>
      </c>
      <c r="Y418" s="282">
        <f>SUM(R85:R89)</f>
        <v>0</v>
      </c>
      <c r="Z418" s="283" t="str">
        <f t="shared" si="4"/>
        <v>--</v>
      </c>
      <c r="AA418" s="228"/>
      <c r="AB418" s="228"/>
      <c r="AC418" s="228"/>
      <c r="AD418" s="228"/>
      <c r="AN418" s="22"/>
      <c r="AO418" s="22"/>
      <c r="BF418" s="5"/>
      <c r="BG418" s="5"/>
    </row>
    <row r="419" spans="7:59" ht="13.9" customHeight="1" x14ac:dyDescent="0.2">
      <c r="G419" s="12"/>
      <c r="M419" s="84"/>
      <c r="N419" s="84"/>
      <c r="O419" s="84"/>
      <c r="Q419" s="23"/>
      <c r="R419" s="238"/>
      <c r="S419" s="279" t="str">
        <f>B93</f>
        <v>Mahdollisten korvaavien maa-ainesten kuljetukset alueelle</v>
      </c>
      <c r="T419" s="280"/>
      <c r="U419" s="281"/>
      <c r="V419" s="281"/>
      <c r="W419" s="281" t="s">
        <v>662</v>
      </c>
      <c r="X419" s="281" t="s">
        <v>602</v>
      </c>
      <c r="Y419" s="282">
        <f>SUM(Y420,Y421)</f>
        <v>0</v>
      </c>
      <c r="Z419" s="283" t="str">
        <f t="shared" si="4"/>
        <v>--</v>
      </c>
      <c r="AA419" s="228"/>
      <c r="AB419" s="228"/>
      <c r="AC419" s="228"/>
      <c r="AD419" s="228"/>
      <c r="AN419" s="22"/>
      <c r="AO419" s="22"/>
      <c r="BF419" s="5"/>
      <c r="BG419" s="5"/>
    </row>
    <row r="420" spans="7:59" ht="13.9" customHeight="1" x14ac:dyDescent="0.2">
      <c r="G420" s="12"/>
      <c r="M420" s="84"/>
      <c r="N420" s="84"/>
      <c r="O420" s="84"/>
      <c r="Q420" s="23"/>
      <c r="R420" s="238"/>
      <c r="S420" s="207" t="s">
        <v>40</v>
      </c>
      <c r="T420" s="228"/>
      <c r="U420" s="228"/>
      <c r="V420" s="228"/>
      <c r="W420" s="228" t="s">
        <v>40</v>
      </c>
      <c r="X420" s="228" t="s">
        <v>602</v>
      </c>
      <c r="Y420" s="229">
        <f>SUM(AB96,AB101,AB106,AB111,AB116)</f>
        <v>0</v>
      </c>
      <c r="Z420" s="277" t="str">
        <f t="shared" si="4"/>
        <v>--</v>
      </c>
      <c r="AA420" s="228"/>
      <c r="AB420" s="228"/>
      <c r="AC420" s="228"/>
      <c r="AD420" s="228"/>
      <c r="AN420" s="22"/>
      <c r="AO420" s="22"/>
      <c r="BF420" s="5"/>
      <c r="BG420" s="5"/>
    </row>
    <row r="421" spans="7:59" ht="13.9" customHeight="1" x14ac:dyDescent="0.2">
      <c r="G421" s="12"/>
      <c r="M421" s="84"/>
      <c r="N421" s="84"/>
      <c r="O421" s="84"/>
      <c r="Q421" s="23"/>
      <c r="R421" s="238"/>
      <c r="S421" s="207" t="s">
        <v>577</v>
      </c>
      <c r="T421" s="228"/>
      <c r="U421" s="228"/>
      <c r="V421" s="228"/>
      <c r="W421" s="228" t="s">
        <v>40</v>
      </c>
      <c r="X421" s="228" t="s">
        <v>602</v>
      </c>
      <c r="Y421" s="229">
        <f>SUM(AG96,AG101,AG106,AG111,AG116)</f>
        <v>0</v>
      </c>
      <c r="Z421" s="277" t="str">
        <f t="shared" si="4"/>
        <v>--</v>
      </c>
      <c r="AA421" s="228"/>
      <c r="AB421" s="228"/>
      <c r="AC421" s="228"/>
      <c r="AD421" s="228"/>
      <c r="AN421" s="22"/>
      <c r="AO421" s="22"/>
      <c r="BF421" s="5"/>
      <c r="BG421" s="5"/>
    </row>
    <row r="422" spans="7:59" ht="13.9" customHeight="1" x14ac:dyDescent="0.2">
      <c r="G422" s="12"/>
      <c r="M422" s="84"/>
      <c r="N422" s="84"/>
      <c r="O422" s="84"/>
      <c r="Q422" s="23"/>
      <c r="R422" s="238"/>
      <c r="S422" s="279" t="str">
        <f>B123</f>
        <v>Käytettävien kasvien, kemikaalien ja kertakäyttöisten tuotteiden ja materiaalien valmistus</v>
      </c>
      <c r="T422" s="280"/>
      <c r="U422" s="281"/>
      <c r="V422" s="281"/>
      <c r="W422" s="281" t="s">
        <v>594</v>
      </c>
      <c r="X422" s="281" t="s">
        <v>602</v>
      </c>
      <c r="Y422" s="282">
        <f>SUM(R127,R130,R133,R136,R139)</f>
        <v>0</v>
      </c>
      <c r="Z422" s="283" t="str">
        <f t="shared" si="4"/>
        <v>--</v>
      </c>
      <c r="AA422" s="228"/>
      <c r="AB422" s="228"/>
      <c r="AC422" s="228"/>
      <c r="AD422" s="228"/>
      <c r="AN422" s="22"/>
      <c r="AO422" s="22"/>
      <c r="BF422" s="5"/>
      <c r="BG422" s="5"/>
    </row>
    <row r="423" spans="7:59" ht="13.9" customHeight="1" x14ac:dyDescent="0.2">
      <c r="G423" s="12"/>
      <c r="M423" s="84"/>
      <c r="N423" s="84"/>
      <c r="O423" s="84"/>
      <c r="Q423" s="23"/>
      <c r="R423" s="238"/>
      <c r="S423" s="279" t="str">
        <f>B141</f>
        <v>Käsittelyssä käytettävien kemikaalien, tuotteiden ja materiaalien kuljetukset alueelle</v>
      </c>
      <c r="T423" s="280"/>
      <c r="U423" s="281"/>
      <c r="V423" s="281"/>
      <c r="W423" s="281" t="s">
        <v>40</v>
      </c>
      <c r="X423" s="281" t="s">
        <v>602</v>
      </c>
      <c r="Y423" s="282">
        <f>SUM(R147,R155,R163,R171,R179)</f>
        <v>0</v>
      </c>
      <c r="Z423" s="283" t="str">
        <f t="shared" si="4"/>
        <v>--</v>
      </c>
      <c r="AA423" s="228"/>
      <c r="AB423" s="228"/>
      <c r="AC423" s="228"/>
      <c r="AD423" s="228"/>
      <c r="AN423" s="22"/>
      <c r="AO423" s="22"/>
      <c r="BF423" s="5"/>
      <c r="BG423" s="5"/>
    </row>
    <row r="424" spans="7:59" ht="13.9" customHeight="1" x14ac:dyDescent="0.2">
      <c r="G424" s="12"/>
      <c r="M424" s="84"/>
      <c r="N424" s="84"/>
      <c r="O424" s="84"/>
      <c r="Q424" s="23"/>
      <c r="R424" s="238"/>
      <c r="S424" s="279" t="str">
        <f>B187</f>
        <v>Kasvien istutukset</v>
      </c>
      <c r="T424" s="280"/>
      <c r="U424" s="281"/>
      <c r="V424" s="281"/>
      <c r="W424" s="281" t="s">
        <v>595</v>
      </c>
      <c r="X424" s="281" t="s">
        <v>602</v>
      </c>
      <c r="Y424" s="282">
        <f>SUM(R190,R194)</f>
        <v>0</v>
      </c>
      <c r="Z424" s="283" t="str">
        <f t="shared" si="4"/>
        <v>--</v>
      </c>
      <c r="AA424" s="228"/>
      <c r="AB424" s="228"/>
      <c r="AC424" s="228"/>
      <c r="AD424" s="228"/>
      <c r="AN424" s="22"/>
      <c r="AO424" s="22"/>
      <c r="BF424" s="5"/>
      <c r="BG424" s="5"/>
    </row>
    <row r="425" spans="7:59" ht="13.9" customHeight="1" x14ac:dyDescent="0.2">
      <c r="G425" s="12"/>
      <c r="M425" s="84"/>
      <c r="N425" s="84"/>
      <c r="O425" s="84"/>
      <c r="Q425" s="23"/>
      <c r="R425" s="238"/>
      <c r="S425" s="279" t="str">
        <f>B198</f>
        <v>Kunnossapito ja mahdollinen haitta-aineita sisältävien kasvien kerääminen ja jatkokäsittely</v>
      </c>
      <c r="T425" s="280"/>
      <c r="U425" s="281"/>
      <c r="V425" s="281"/>
      <c r="W425" s="281" t="s">
        <v>595</v>
      </c>
      <c r="X425" s="281" t="s">
        <v>602</v>
      </c>
      <c r="Y425" s="282">
        <f>SUM(R201,R205)</f>
        <v>0</v>
      </c>
      <c r="Z425" s="283" t="str">
        <f t="shared" si="4"/>
        <v>--</v>
      </c>
      <c r="AA425" s="228"/>
      <c r="AB425" s="228"/>
      <c r="AC425" s="228"/>
      <c r="AD425" s="228"/>
      <c r="AN425" s="22"/>
      <c r="AO425" s="22"/>
      <c r="BF425" s="5"/>
      <c r="BG425" s="5"/>
    </row>
    <row r="426" spans="7:59" ht="13.9" customHeight="1" x14ac:dyDescent="0.2">
      <c r="G426" s="12"/>
      <c r="M426" s="84"/>
      <c r="N426" s="84"/>
      <c r="O426" s="84"/>
      <c r="Q426" s="23"/>
      <c r="R426" s="238"/>
      <c r="S426" s="279" t="s">
        <v>42</v>
      </c>
      <c r="T426" s="281"/>
      <c r="U426" s="281"/>
      <c r="V426" s="281"/>
      <c r="W426" s="281" t="s">
        <v>664</v>
      </c>
      <c r="X426" s="281"/>
      <c r="Y426" s="282">
        <f>SUM(Y427:Y429)</f>
        <v>0</v>
      </c>
      <c r="Z426" s="283" t="str">
        <f t="shared" si="4"/>
        <v>--</v>
      </c>
      <c r="AA426" s="228"/>
      <c r="AB426" s="228"/>
      <c r="AC426" s="228"/>
      <c r="AD426" s="228"/>
      <c r="AN426" s="22"/>
      <c r="AO426" s="22"/>
      <c r="BF426" s="5"/>
      <c r="BG426" s="5"/>
    </row>
    <row r="427" spans="7:59" ht="13.9" customHeight="1" x14ac:dyDescent="0.2">
      <c r="G427" s="12"/>
      <c r="M427" s="84"/>
      <c r="N427" s="84"/>
      <c r="O427" s="84"/>
      <c r="Q427" s="23"/>
      <c r="R427" s="238"/>
      <c r="S427" s="207" t="s">
        <v>60</v>
      </c>
      <c r="T427" s="228"/>
      <c r="U427" s="228"/>
      <c r="V427" s="228"/>
      <c r="W427" s="228" t="s">
        <v>601</v>
      </c>
      <c r="X427" s="228" t="s">
        <v>316</v>
      </c>
      <c r="Y427" s="229">
        <f>SUM(R213)</f>
        <v>0</v>
      </c>
      <c r="Z427" s="277" t="str">
        <f t="shared" si="4"/>
        <v>--</v>
      </c>
      <c r="AA427" s="228"/>
      <c r="AB427" s="228"/>
      <c r="AC427" s="228"/>
      <c r="AD427" s="228"/>
      <c r="AN427" s="22"/>
      <c r="AO427" s="22"/>
      <c r="BF427" s="5"/>
      <c r="BG427" s="5"/>
    </row>
    <row r="428" spans="7:59" ht="13.9" customHeight="1" x14ac:dyDescent="0.2">
      <c r="G428" s="12"/>
      <c r="M428" s="84"/>
      <c r="N428" s="84"/>
      <c r="O428" s="84"/>
      <c r="Q428" s="23"/>
      <c r="R428" s="238"/>
      <c r="S428" s="207" t="s">
        <v>580</v>
      </c>
      <c r="T428" s="228"/>
      <c r="U428" s="228"/>
      <c r="V428" s="228"/>
      <c r="W428" s="228" t="s">
        <v>601</v>
      </c>
      <c r="X428" s="228" t="s">
        <v>602</v>
      </c>
      <c r="Y428" s="229">
        <f>SUM(R215)</f>
        <v>0</v>
      </c>
      <c r="Z428" s="277" t="str">
        <f t="shared" si="4"/>
        <v>--</v>
      </c>
      <c r="AA428" s="228"/>
      <c r="AB428" s="228"/>
      <c r="AC428" s="228"/>
      <c r="AD428" s="228"/>
      <c r="AN428" s="22"/>
      <c r="AO428" s="22"/>
      <c r="BF428" s="5"/>
      <c r="BG428" s="5"/>
    </row>
    <row r="429" spans="7:59" ht="13.9" customHeight="1" x14ac:dyDescent="0.2">
      <c r="G429" s="12"/>
      <c r="M429" s="84"/>
      <c r="N429" s="84"/>
      <c r="O429" s="84"/>
      <c r="Q429" s="23"/>
      <c r="R429" s="238"/>
      <c r="S429" s="207" t="s">
        <v>581</v>
      </c>
      <c r="T429" s="228"/>
      <c r="U429" s="228"/>
      <c r="V429" s="228"/>
      <c r="W429" s="228" t="s">
        <v>601</v>
      </c>
      <c r="X429" s="228" t="s">
        <v>603</v>
      </c>
      <c r="Y429" s="229">
        <f>SUM(R302)</f>
        <v>0</v>
      </c>
      <c r="Z429" s="277" t="str">
        <f t="shared" si="4"/>
        <v>--</v>
      </c>
      <c r="AA429" s="228"/>
      <c r="AB429" s="228"/>
      <c r="AC429" s="228"/>
      <c r="AD429" s="228"/>
      <c r="AN429" s="22"/>
      <c r="AO429" s="22"/>
      <c r="BF429" s="5"/>
      <c r="BG429" s="5"/>
    </row>
    <row r="430" spans="7:59" ht="13.9" customHeight="1" x14ac:dyDescent="0.2">
      <c r="G430" s="12"/>
      <c r="M430" s="84"/>
      <c r="N430" s="84"/>
      <c r="O430" s="84"/>
      <c r="Q430" s="23"/>
      <c r="R430" s="238"/>
      <c r="S430" s="284" t="str">
        <f>B223</f>
        <v>Rakenteiden purkaminen</v>
      </c>
      <c r="T430" s="281"/>
      <c r="U430" s="281"/>
      <c r="V430" s="281"/>
      <c r="W430" s="281" t="s">
        <v>595</v>
      </c>
      <c r="X430" s="281" t="s">
        <v>350</v>
      </c>
      <c r="Y430" s="282">
        <f>SUM(R226,R230,R234)</f>
        <v>0</v>
      </c>
      <c r="Z430" s="283" t="str">
        <f t="shared" si="4"/>
        <v>--</v>
      </c>
      <c r="AA430" s="228"/>
      <c r="AB430" s="228"/>
      <c r="AC430" s="228"/>
      <c r="AD430" s="228"/>
      <c r="AN430" s="22"/>
      <c r="AO430" s="22"/>
      <c r="BF430" s="5"/>
      <c r="BG430" s="5"/>
    </row>
    <row r="431" spans="7:59" ht="13.9" customHeight="1" x14ac:dyDescent="0.2">
      <c r="G431" s="12"/>
      <c r="M431" s="84"/>
      <c r="N431" s="84"/>
      <c r="O431" s="84"/>
      <c r="Q431" s="23"/>
      <c r="R431" s="238"/>
      <c r="S431" s="284" t="str">
        <f>B238</f>
        <v>Poistettavien rakenteiden ja puhdistukseen päättämiseen liittyvien materiaalien kuljetukset</v>
      </c>
      <c r="T431" s="281"/>
      <c r="U431" s="281"/>
      <c r="V431" s="281"/>
      <c r="W431" s="281" t="s">
        <v>662</v>
      </c>
      <c r="X431" s="281" t="s">
        <v>350</v>
      </c>
      <c r="Y431" s="282">
        <f>SUM(Y432:Y433)</f>
        <v>0</v>
      </c>
      <c r="Z431" s="283" t="str">
        <f t="shared" si="4"/>
        <v>--</v>
      </c>
      <c r="AA431" s="228"/>
      <c r="AB431" s="228"/>
      <c r="AC431" s="228"/>
      <c r="AD431" s="228"/>
      <c r="AN431" s="22"/>
      <c r="AO431" s="22"/>
      <c r="BF431" s="5"/>
      <c r="BG431" s="5"/>
    </row>
    <row r="432" spans="7:59" ht="13.9" customHeight="1" x14ac:dyDescent="0.2">
      <c r="G432" s="12"/>
      <c r="M432" s="84"/>
      <c r="N432" s="84"/>
      <c r="O432" s="84"/>
      <c r="Q432" s="23"/>
      <c r="R432" s="238"/>
      <c r="S432" s="246" t="s">
        <v>40</v>
      </c>
      <c r="T432" s="228"/>
      <c r="U432" s="228"/>
      <c r="V432" s="228"/>
      <c r="W432" s="228" t="s">
        <v>40</v>
      </c>
      <c r="X432" s="228" t="s">
        <v>350</v>
      </c>
      <c r="Y432" s="229">
        <f>SUM(AB241,AB246,AB251,AB256,AB261)</f>
        <v>0</v>
      </c>
      <c r="Z432" s="277" t="str">
        <f t="shared" si="4"/>
        <v>--</v>
      </c>
      <c r="AA432" s="228"/>
      <c r="AB432" s="228"/>
      <c r="AC432" s="228"/>
      <c r="AD432" s="228"/>
      <c r="AN432" s="22"/>
      <c r="AO432" s="22"/>
      <c r="BF432" s="5"/>
      <c r="BG432" s="5"/>
    </row>
    <row r="433" spans="7:59" ht="13.9" customHeight="1" x14ac:dyDescent="0.2">
      <c r="G433" s="12"/>
      <c r="M433" s="84"/>
      <c r="N433" s="84"/>
      <c r="O433" s="84"/>
      <c r="Q433" s="23"/>
      <c r="R433" s="238"/>
      <c r="S433" s="246" t="s">
        <v>577</v>
      </c>
      <c r="T433" s="228"/>
      <c r="U433" s="228"/>
      <c r="V433" s="228"/>
      <c r="W433" s="228" t="s">
        <v>40</v>
      </c>
      <c r="X433" s="228" t="s">
        <v>350</v>
      </c>
      <c r="Y433" s="229">
        <f>SUM(AG241,AG246,AG251,AG256,AG261)</f>
        <v>0</v>
      </c>
      <c r="Z433" s="277" t="str">
        <f t="shared" si="4"/>
        <v>--</v>
      </c>
      <c r="AA433" s="228"/>
      <c r="AB433" s="228"/>
      <c r="AC433" s="228"/>
      <c r="AD433" s="228"/>
      <c r="AN433" s="22"/>
      <c r="AO433" s="22"/>
      <c r="BF433" s="5"/>
      <c r="BG433" s="5"/>
    </row>
    <row r="434" spans="7:59" ht="13.9" customHeight="1" x14ac:dyDescent="0.2">
      <c r="G434" s="12"/>
      <c r="M434" s="84"/>
      <c r="N434" s="84"/>
      <c r="O434" s="84"/>
      <c r="Q434" s="23"/>
      <c r="R434" s="238"/>
      <c r="S434" s="284" t="str">
        <f>B268</f>
        <v>Jätteiden loppusijoitus</v>
      </c>
      <c r="T434" s="281"/>
      <c r="U434" s="281"/>
      <c r="V434" s="281"/>
      <c r="W434" s="281" t="s">
        <v>688</v>
      </c>
      <c r="X434" s="281" t="s">
        <v>350</v>
      </c>
      <c r="Y434" s="282">
        <f>SUM(Y435:Y436)</f>
        <v>0</v>
      </c>
      <c r="Z434" s="283" t="str">
        <f t="shared" si="4"/>
        <v>--</v>
      </c>
      <c r="AA434" s="228"/>
      <c r="AB434" s="228"/>
      <c r="AC434" s="228"/>
      <c r="AD434" s="228"/>
      <c r="AN434" s="22"/>
      <c r="AO434" s="22"/>
      <c r="BF434" s="5"/>
      <c r="BG434" s="5"/>
    </row>
    <row r="435" spans="7:59" ht="13.9" customHeight="1" x14ac:dyDescent="0.2">
      <c r="G435" s="12"/>
      <c r="M435" s="84"/>
      <c r="N435" s="84"/>
      <c r="O435" s="84"/>
      <c r="Q435" s="23"/>
      <c r="R435" s="238"/>
      <c r="S435" s="246" t="str">
        <f>B270</f>
        <v>Poistettujen kertakäyttöisten rakenteiden ja materiaalien jatkokäsittely (pl. maa-ainekset)</v>
      </c>
      <c r="T435" s="228"/>
      <c r="U435" s="228"/>
      <c r="V435" s="228"/>
      <c r="W435" s="228" t="s">
        <v>600</v>
      </c>
      <c r="X435" s="228" t="s">
        <v>350</v>
      </c>
      <c r="Y435" s="229">
        <f>SUM(R272,R275,R278,R281,R284,R287)</f>
        <v>0</v>
      </c>
      <c r="Z435" s="277" t="str">
        <f t="shared" si="4"/>
        <v>--</v>
      </c>
      <c r="AA435" s="228"/>
      <c r="AB435" s="228"/>
      <c r="AC435" s="228"/>
      <c r="AD435" s="228"/>
      <c r="AN435" s="22"/>
      <c r="AO435" s="22"/>
      <c r="BF435" s="5"/>
      <c r="BG435" s="5"/>
    </row>
    <row r="436" spans="7:59" ht="13.9" customHeight="1" x14ac:dyDescent="0.2">
      <c r="G436" s="12"/>
      <c r="M436" s="84"/>
      <c r="N436" s="84"/>
      <c r="O436" s="84"/>
      <c r="Q436" s="23"/>
      <c r="R436" s="238"/>
      <c r="S436" s="246" t="str">
        <f>B291</f>
        <v>Poistetun maan jatkokäsittely vastaanottopaikassa</v>
      </c>
      <c r="T436" s="228"/>
      <c r="U436" s="228"/>
      <c r="V436" s="228"/>
      <c r="W436" s="228" t="s">
        <v>600</v>
      </c>
      <c r="X436" s="228" t="s">
        <v>350</v>
      </c>
      <c r="Y436" s="229">
        <f>SUM(R293,R295)</f>
        <v>0</v>
      </c>
      <c r="Z436" s="277" t="str">
        <f t="shared" si="4"/>
        <v>--</v>
      </c>
      <c r="AA436" s="228"/>
      <c r="AB436" s="228"/>
      <c r="AC436" s="228"/>
      <c r="AD436" s="228"/>
      <c r="AN436" s="22"/>
      <c r="AO436" s="22"/>
      <c r="BF436" s="5"/>
      <c r="BG436" s="5"/>
    </row>
    <row r="437" spans="7:59" ht="13.9" customHeight="1" x14ac:dyDescent="0.2">
      <c r="G437" s="12"/>
      <c r="M437" s="84"/>
      <c r="N437" s="84"/>
      <c r="O437" s="84"/>
      <c r="Q437" s="23"/>
      <c r="R437" s="238"/>
      <c r="S437" s="22"/>
      <c r="T437" s="228"/>
      <c r="U437" s="228"/>
      <c r="V437" s="228"/>
      <c r="W437" s="228"/>
      <c r="X437" s="228"/>
      <c r="Y437" s="229"/>
      <c r="Z437" s="277"/>
      <c r="AA437" s="228"/>
      <c r="AB437" s="228"/>
      <c r="AC437" s="228"/>
      <c r="AD437" s="228"/>
      <c r="AN437" s="22"/>
      <c r="AO437" s="22"/>
      <c r="BF437" s="5"/>
      <c r="BG437" s="5"/>
    </row>
    <row r="438" spans="7:59" ht="13.9" customHeight="1" x14ac:dyDescent="0.2">
      <c r="G438" s="12"/>
      <c r="M438" s="84"/>
      <c r="N438" s="84"/>
      <c r="O438" s="84"/>
      <c r="Q438" s="23"/>
      <c r="R438" s="238"/>
      <c r="S438" s="361" t="s">
        <v>583</v>
      </c>
      <c r="T438" s="228"/>
      <c r="U438" s="228"/>
      <c r="V438" s="228"/>
      <c r="W438" s="228"/>
      <c r="X438" s="228"/>
      <c r="Y438" s="392">
        <f>SUM(Y434,Y430:Y431,Y422:Y426,Y418:Y419,Y414:Y415,Y410,Y403)</f>
        <v>0</v>
      </c>
      <c r="Z438" s="393">
        <f>SUM(Z434,Z430:Z431,Z422:Z426,Z418:Z419,Z414:Z415,Z410,Z403)</f>
        <v>0</v>
      </c>
      <c r="AA438" s="228"/>
      <c r="AB438" s="228"/>
      <c r="AC438" s="228"/>
      <c r="AD438" s="228"/>
      <c r="AN438" s="22"/>
      <c r="AO438" s="22"/>
      <c r="BF438" s="5"/>
      <c r="BG438" s="5"/>
    </row>
    <row r="439" spans="7:59" ht="13.9" customHeight="1" x14ac:dyDescent="0.2">
      <c r="G439" s="12"/>
      <c r="M439" s="84"/>
      <c r="N439" s="84"/>
      <c r="O439" s="84"/>
      <c r="Q439" s="23"/>
      <c r="R439" s="238"/>
      <c r="S439" s="99"/>
      <c r="T439" s="228"/>
      <c r="U439" s="228"/>
      <c r="V439" s="228"/>
      <c r="W439" s="228"/>
      <c r="X439" s="228"/>
      <c r="Y439" s="229"/>
      <c r="Z439" s="228"/>
      <c r="AA439" s="228"/>
      <c r="AB439" s="228"/>
      <c r="AC439" s="228"/>
      <c r="AD439" s="228"/>
      <c r="AN439" s="22"/>
      <c r="AO439" s="22"/>
      <c r="BF439" s="5"/>
      <c r="BG439" s="5"/>
    </row>
    <row r="440" spans="7:59" ht="13.9" customHeight="1" x14ac:dyDescent="0.2">
      <c r="G440" s="12"/>
      <c r="M440" s="84"/>
      <c r="N440" s="84"/>
      <c r="O440" s="84"/>
      <c r="Q440" s="23"/>
      <c r="R440" s="238"/>
      <c r="S440" s="99" t="s">
        <v>594</v>
      </c>
      <c r="T440" s="228"/>
      <c r="U440" s="229">
        <f t="shared" ref="U440:U445" si="5">SUMIFS($Y$403:$Y$436,$W$403:$W$436,S440)</f>
        <v>0</v>
      </c>
      <c r="V440" s="277" t="str">
        <f>IF(ISERROR(U440/$U$446),"--",U440/$U$446)</f>
        <v>--</v>
      </c>
      <c r="W440" s="228"/>
      <c r="X440" s="228"/>
      <c r="Y440" s="228"/>
      <c r="Z440" s="228"/>
      <c r="AA440" s="228"/>
      <c r="AB440" s="228"/>
      <c r="AC440" s="228"/>
      <c r="AD440" s="228"/>
      <c r="AN440" s="22"/>
      <c r="AO440" s="22"/>
      <c r="BF440" s="5"/>
      <c r="BG440" s="5"/>
    </row>
    <row r="441" spans="7:59" ht="13.9" customHeight="1" x14ac:dyDescent="0.2">
      <c r="G441" s="12"/>
      <c r="M441" s="84"/>
      <c r="N441" s="84"/>
      <c r="O441" s="84"/>
      <c r="Q441" s="23"/>
      <c r="R441" s="238"/>
      <c r="S441" s="99" t="s">
        <v>40</v>
      </c>
      <c r="T441" s="228"/>
      <c r="U441" s="229">
        <f t="shared" si="5"/>
        <v>0</v>
      </c>
      <c r="V441" s="277" t="str">
        <f t="shared" ref="V441:V446" si="6">IF(ISERROR(U441/$U$446),"--",U441/$U$446)</f>
        <v>--</v>
      </c>
      <c r="W441" s="228"/>
      <c r="X441" s="228"/>
      <c r="Y441" s="228"/>
      <c r="Z441" s="228"/>
      <c r="AA441" s="228"/>
      <c r="AB441" s="228"/>
      <c r="AC441" s="228"/>
      <c r="AD441" s="228"/>
      <c r="AN441" s="22"/>
      <c r="AO441" s="22"/>
      <c r="BF441" s="5"/>
      <c r="BG441" s="5"/>
    </row>
    <row r="442" spans="7:59" ht="13.9" customHeight="1" x14ac:dyDescent="0.2">
      <c r="G442" s="12"/>
      <c r="M442" s="84"/>
      <c r="N442" s="84"/>
      <c r="O442" s="84"/>
      <c r="Q442" s="23"/>
      <c r="R442" s="238"/>
      <c r="S442" s="99" t="s">
        <v>595</v>
      </c>
      <c r="T442" s="228"/>
      <c r="U442" s="229">
        <f t="shared" si="5"/>
        <v>0</v>
      </c>
      <c r="V442" s="277" t="str">
        <f t="shared" si="6"/>
        <v>--</v>
      </c>
      <c r="W442" s="228"/>
      <c r="X442" s="228"/>
      <c r="Y442" s="228"/>
      <c r="Z442" s="228"/>
      <c r="AA442" s="228"/>
      <c r="AB442" s="228"/>
      <c r="AC442" s="228"/>
      <c r="AD442" s="228"/>
      <c r="AN442" s="22"/>
      <c r="AO442" s="22"/>
      <c r="BF442" s="5"/>
      <c r="BG442" s="5"/>
    </row>
    <row r="443" spans="7:59" ht="13.9" customHeight="1" x14ac:dyDescent="0.2">
      <c r="G443" s="12"/>
      <c r="M443" s="84"/>
      <c r="N443" s="84"/>
      <c r="O443" s="84"/>
      <c r="Q443" s="23"/>
      <c r="R443" s="238"/>
      <c r="S443" s="99" t="s">
        <v>683</v>
      </c>
      <c r="T443" s="228"/>
      <c r="U443" s="229">
        <f t="shared" si="5"/>
        <v>0</v>
      </c>
      <c r="V443" s="277" t="str">
        <f t="shared" si="6"/>
        <v>--</v>
      </c>
      <c r="W443" s="228"/>
      <c r="X443" s="228"/>
      <c r="Y443" s="228"/>
      <c r="Z443" s="228"/>
      <c r="AA443" s="228"/>
      <c r="AB443" s="228"/>
      <c r="AC443" s="228"/>
      <c r="AD443" s="228"/>
      <c r="AN443" s="22"/>
      <c r="AO443" s="22"/>
      <c r="BF443" s="5"/>
      <c r="BG443" s="5"/>
    </row>
    <row r="444" spans="7:59" ht="13.9" customHeight="1" x14ac:dyDescent="0.2">
      <c r="G444" s="12"/>
      <c r="M444" s="84"/>
      <c r="N444" s="84"/>
      <c r="O444" s="84"/>
      <c r="Q444" s="23"/>
      <c r="R444" s="238"/>
      <c r="S444" s="99" t="s">
        <v>600</v>
      </c>
      <c r="T444" s="228"/>
      <c r="U444" s="229">
        <f t="shared" si="5"/>
        <v>0</v>
      </c>
      <c r="V444" s="277" t="str">
        <f t="shared" si="6"/>
        <v>--</v>
      </c>
      <c r="W444" s="228"/>
      <c r="X444" s="228"/>
      <c r="Y444" s="228"/>
      <c r="Z444" s="228"/>
      <c r="AA444" s="228"/>
      <c r="AB444" s="228"/>
      <c r="AC444" s="228"/>
      <c r="AD444" s="228"/>
      <c r="AN444" s="22"/>
      <c r="AO444" s="22"/>
      <c r="BF444" s="5"/>
      <c r="BG444" s="5"/>
    </row>
    <row r="445" spans="7:59" ht="13.9" customHeight="1" x14ac:dyDescent="0.2">
      <c r="G445" s="12"/>
      <c r="M445" s="84"/>
      <c r="N445" s="84"/>
      <c r="O445" s="84"/>
      <c r="Q445" s="23"/>
      <c r="R445" s="238"/>
      <c r="S445" s="99" t="s">
        <v>601</v>
      </c>
      <c r="T445" s="228"/>
      <c r="U445" s="229">
        <f t="shared" si="5"/>
        <v>0</v>
      </c>
      <c r="V445" s="277" t="str">
        <f t="shared" si="6"/>
        <v>--</v>
      </c>
      <c r="W445" s="228"/>
      <c r="X445" s="228"/>
      <c r="Y445" s="228"/>
      <c r="Z445" s="228"/>
      <c r="AA445" s="228"/>
      <c r="AB445" s="228"/>
      <c r="AC445" s="228"/>
      <c r="AD445" s="228"/>
      <c r="AN445" s="22"/>
      <c r="AO445" s="22"/>
      <c r="BF445" s="5"/>
      <c r="BG445" s="5"/>
    </row>
    <row r="446" spans="7:59" ht="13.9" customHeight="1" x14ac:dyDescent="0.2">
      <c r="G446" s="12"/>
      <c r="M446" s="84"/>
      <c r="N446" s="84"/>
      <c r="O446" s="84"/>
      <c r="Q446" s="23"/>
      <c r="R446" s="238"/>
      <c r="S446" s="99" t="s">
        <v>605</v>
      </c>
      <c r="T446" s="228"/>
      <c r="U446" s="229">
        <f>SUM(U440:U445)</f>
        <v>0</v>
      </c>
      <c r="V446" s="277" t="str">
        <f t="shared" si="6"/>
        <v>--</v>
      </c>
      <c r="W446" s="228"/>
      <c r="X446" s="228"/>
      <c r="Y446" s="228"/>
      <c r="Z446" s="228"/>
      <c r="AA446" s="228"/>
      <c r="AB446" s="228"/>
      <c r="AC446" s="228"/>
      <c r="AD446" s="228"/>
      <c r="AN446" s="22"/>
      <c r="AO446" s="22"/>
      <c r="BF446" s="5"/>
      <c r="BG446" s="5"/>
    </row>
    <row r="448" spans="7:59" ht="13.9" customHeight="1" x14ac:dyDescent="0.2">
      <c r="G448" s="12"/>
      <c r="M448" s="84"/>
      <c r="N448" s="84"/>
      <c r="O448" s="84"/>
      <c r="Q448" s="23"/>
      <c r="R448" s="238"/>
      <c r="S448" s="361" t="s">
        <v>686</v>
      </c>
      <c r="T448" s="228"/>
      <c r="U448" s="228"/>
      <c r="V448" s="228"/>
      <c r="W448" s="228"/>
      <c r="X448" s="228"/>
      <c r="Y448" s="228"/>
      <c r="Z448" s="228"/>
      <c r="AA448" s="228"/>
      <c r="AB448" s="228"/>
      <c r="AC448" s="228"/>
      <c r="AD448" s="228"/>
      <c r="AN448" s="22"/>
      <c r="AO448" s="22"/>
      <c r="BF448" s="5"/>
      <c r="BG448" s="5"/>
    </row>
    <row r="449" spans="7:59" ht="13.9" customHeight="1" x14ac:dyDescent="0.2">
      <c r="G449" s="12"/>
      <c r="M449" s="84"/>
      <c r="N449" s="84"/>
      <c r="O449" s="84"/>
      <c r="Q449" s="23"/>
      <c r="R449" s="238"/>
      <c r="S449" s="284" t="s">
        <v>597</v>
      </c>
      <c r="T449" s="281"/>
      <c r="U449" s="281"/>
      <c r="V449" s="281"/>
      <c r="W449" s="281"/>
      <c r="X449" s="281"/>
      <c r="Y449" s="282">
        <f>SUM(Y450)</f>
        <v>0</v>
      </c>
      <c r="Z449" s="283"/>
      <c r="AA449" s="228"/>
      <c r="AB449" s="228"/>
      <c r="AC449" s="228"/>
      <c r="AD449" s="228"/>
      <c r="AN449" s="22"/>
      <c r="AO449" s="22"/>
      <c r="BF449" s="5"/>
      <c r="BG449" s="5"/>
    </row>
    <row r="450" spans="7:59" ht="13.9" customHeight="1" x14ac:dyDescent="0.2">
      <c r="G450" s="12"/>
      <c r="M450" s="84"/>
      <c r="N450" s="84"/>
      <c r="O450" s="84"/>
      <c r="Q450" s="23"/>
      <c r="R450" s="238"/>
      <c r="S450" s="246" t="s">
        <v>572</v>
      </c>
      <c r="T450" s="228"/>
      <c r="U450" s="228"/>
      <c r="V450" s="228"/>
      <c r="W450" s="228" t="s">
        <v>604</v>
      </c>
      <c r="X450" s="228" t="s">
        <v>573</v>
      </c>
      <c r="Y450" s="229">
        <f>SUM(R30)</f>
        <v>0</v>
      </c>
      <c r="Z450" s="277"/>
      <c r="AA450" s="228"/>
      <c r="AB450" s="228"/>
      <c r="AC450" s="228"/>
      <c r="AD450" s="228"/>
      <c r="AN450" s="22"/>
      <c r="AO450" s="22"/>
      <c r="BF450" s="5"/>
      <c r="BG450" s="5"/>
    </row>
    <row r="451" spans="7:59" ht="13.9" customHeight="1" x14ac:dyDescent="0.2">
      <c r="G451" s="12"/>
      <c r="M451" s="84"/>
      <c r="N451" s="84"/>
      <c r="O451" s="84"/>
      <c r="Q451" s="23"/>
      <c r="R451" s="238"/>
      <c r="S451" s="99" t="s">
        <v>598</v>
      </c>
      <c r="T451" s="228"/>
      <c r="U451" s="228"/>
      <c r="V451" s="228"/>
      <c r="W451" s="228"/>
      <c r="X451" s="228"/>
      <c r="Y451" s="228" t="s">
        <v>599</v>
      </c>
      <c r="Z451" s="228"/>
      <c r="AA451" s="228"/>
      <c r="AB451" s="228"/>
      <c r="AC451" s="228"/>
      <c r="AD451" s="228"/>
      <c r="AN451" s="22"/>
      <c r="AO451" s="22"/>
      <c r="BF451" s="5"/>
      <c r="BG451" s="5"/>
    </row>
    <row r="453" spans="7:59" ht="13.9" customHeight="1" x14ac:dyDescent="0.2">
      <c r="G453" s="12"/>
      <c r="M453" s="84"/>
      <c r="N453" s="84"/>
      <c r="O453" s="84"/>
      <c r="Q453" s="23"/>
      <c r="R453" s="238"/>
      <c r="S453" s="284" t="s">
        <v>351</v>
      </c>
      <c r="T453" s="281"/>
      <c r="U453" s="281"/>
      <c r="V453" s="281"/>
      <c r="W453" s="281" t="s">
        <v>689</v>
      </c>
      <c r="X453" s="281"/>
      <c r="Y453" s="282">
        <f>SUM(Y455,Y454)</f>
        <v>0</v>
      </c>
      <c r="Z453" s="283"/>
      <c r="AA453" s="228"/>
      <c r="AB453" s="228"/>
      <c r="AC453" s="228"/>
      <c r="AD453" s="228"/>
      <c r="AN453" s="22"/>
      <c r="AO453" s="22"/>
      <c r="BF453" s="5"/>
      <c r="BG453" s="5"/>
    </row>
    <row r="454" spans="7:59" ht="13.9" customHeight="1" x14ac:dyDescent="0.2">
      <c r="G454" s="12"/>
      <c r="M454" s="84"/>
      <c r="N454" s="84"/>
      <c r="O454" s="84"/>
      <c r="Q454" s="23"/>
      <c r="R454" s="238"/>
      <c r="S454" s="246" t="s">
        <v>609</v>
      </c>
      <c r="T454" s="228"/>
      <c r="U454" s="228"/>
      <c r="V454" s="228"/>
      <c r="W454" s="228" t="s">
        <v>582</v>
      </c>
      <c r="X454" s="228" t="s">
        <v>350</v>
      </c>
      <c r="Y454" s="229">
        <f>SUM(R276,R277,R280,R279,R282,R283,R285,R286,R288,R289)</f>
        <v>0</v>
      </c>
      <c r="Z454" s="277"/>
      <c r="AA454" s="228"/>
      <c r="AB454" s="228"/>
      <c r="AC454" s="228"/>
      <c r="AD454" s="228"/>
      <c r="AN454" s="22"/>
      <c r="AO454" s="22"/>
      <c r="BF454" s="5"/>
      <c r="BG454" s="5"/>
    </row>
    <row r="455" spans="7:59" ht="13.9" customHeight="1" x14ac:dyDescent="0.2">
      <c r="G455" s="12"/>
      <c r="M455" s="84"/>
      <c r="N455" s="84"/>
      <c r="O455" s="84"/>
      <c r="Q455" s="23"/>
      <c r="R455" s="238"/>
      <c r="S455" s="246" t="s">
        <v>610</v>
      </c>
      <c r="T455" s="228"/>
      <c r="U455" s="228"/>
      <c r="V455" s="228"/>
      <c r="W455" s="228" t="s">
        <v>582</v>
      </c>
      <c r="X455" s="228" t="s">
        <v>350</v>
      </c>
      <c r="Y455" s="229">
        <f>SUM(R296)</f>
        <v>0</v>
      </c>
      <c r="Z455" s="277"/>
      <c r="AA455" s="228"/>
      <c r="AB455" s="228"/>
      <c r="AC455" s="228"/>
      <c r="AD455" s="228"/>
      <c r="AN455" s="22"/>
      <c r="AO455" s="22"/>
      <c r="BF455" s="5"/>
      <c r="BG455" s="5"/>
    </row>
  </sheetData>
  <mergeCells count="65">
    <mergeCell ref="C183:D183"/>
    <mergeCell ref="C184:D184"/>
    <mergeCell ref="C185:D185"/>
    <mergeCell ref="C11:G11"/>
    <mergeCell ref="C57:G57"/>
    <mergeCell ref="C16:G16"/>
    <mergeCell ref="C21:G21"/>
    <mergeCell ref="C26:D26"/>
    <mergeCell ref="C44:G44"/>
    <mergeCell ref="C48:G48"/>
    <mergeCell ref="C40:G40"/>
    <mergeCell ref="C126:D126"/>
    <mergeCell ref="C129:D129"/>
    <mergeCell ref="C97:G97"/>
    <mergeCell ref="C172:D172"/>
    <mergeCell ref="C164:D164"/>
    <mergeCell ref="C169:D169"/>
    <mergeCell ref="C165:G165"/>
    <mergeCell ref="C167:D167"/>
    <mergeCell ref="C168:D168"/>
    <mergeCell ref="C159:D159"/>
    <mergeCell ref="C160:D160"/>
    <mergeCell ref="C161:D161"/>
    <mergeCell ref="C132:D132"/>
    <mergeCell ref="C135:D135"/>
    <mergeCell ref="C138:D138"/>
    <mergeCell ref="C201:G201"/>
    <mergeCell ref="C205:G205"/>
    <mergeCell ref="C180:D180"/>
    <mergeCell ref="C148:D148"/>
    <mergeCell ref="C149:G149"/>
    <mergeCell ref="C151:D151"/>
    <mergeCell ref="C152:D152"/>
    <mergeCell ref="C190:G190"/>
    <mergeCell ref="C176:D176"/>
    <mergeCell ref="C194:G194"/>
    <mergeCell ref="C173:G173"/>
    <mergeCell ref="C175:D175"/>
    <mergeCell ref="C177:D177"/>
    <mergeCell ref="C62:G62"/>
    <mergeCell ref="C67:G67"/>
    <mergeCell ref="C72:G72"/>
    <mergeCell ref="C77:G77"/>
    <mergeCell ref="C81:D81"/>
    <mergeCell ref="C102:G102"/>
    <mergeCell ref="C107:G107"/>
    <mergeCell ref="C112:G112"/>
    <mergeCell ref="C117:G117"/>
    <mergeCell ref="C121:D121"/>
    <mergeCell ref="C262:G262"/>
    <mergeCell ref="C304:D304"/>
    <mergeCell ref="C217:D217"/>
    <mergeCell ref="B143:H143"/>
    <mergeCell ref="B144:H144"/>
    <mergeCell ref="C153:D153"/>
    <mergeCell ref="C156:D156"/>
    <mergeCell ref="C157:G157"/>
    <mergeCell ref="C226:G226"/>
    <mergeCell ref="C230:G230"/>
    <mergeCell ref="C242:G242"/>
    <mergeCell ref="C234:G234"/>
    <mergeCell ref="C247:G247"/>
    <mergeCell ref="C252:G252"/>
    <mergeCell ref="C257:G257"/>
    <mergeCell ref="C181:G181"/>
  </mergeCells>
  <conditionalFormatting sqref="G56">
    <cfRule type="expression" dxfId="28" priority="31">
      <formula>(D56="t")</formula>
    </cfRule>
  </conditionalFormatting>
  <conditionalFormatting sqref="G61">
    <cfRule type="expression" dxfId="27" priority="30">
      <formula>(D61="t")</formula>
    </cfRule>
  </conditionalFormatting>
  <conditionalFormatting sqref="G66">
    <cfRule type="expression" dxfId="26" priority="29">
      <formula>(D66="t")</formula>
    </cfRule>
  </conditionalFormatting>
  <conditionalFormatting sqref="G71">
    <cfRule type="expression" dxfId="25" priority="28">
      <formula>(D71="t")</formula>
    </cfRule>
  </conditionalFormatting>
  <conditionalFormatting sqref="G76">
    <cfRule type="expression" dxfId="24" priority="27">
      <formula>(D76="t")</formula>
    </cfRule>
  </conditionalFormatting>
  <conditionalFormatting sqref="G127 G130 G133 G136 G139">
    <cfRule type="expression" dxfId="23" priority="1">
      <formula>$D127="Oma yksikkö"</formula>
    </cfRule>
  </conditionalFormatting>
  <conditionalFormatting sqref="G241">
    <cfRule type="expression" dxfId="22" priority="20">
      <formula>(D241="t")</formula>
    </cfRule>
  </conditionalFormatting>
  <conditionalFormatting sqref="G246">
    <cfRule type="expression" dxfId="21" priority="18">
      <formula>(D246="t")</formula>
    </cfRule>
  </conditionalFormatting>
  <conditionalFormatting sqref="G251">
    <cfRule type="expression" dxfId="20" priority="17">
      <formula>(D251="t")</formula>
    </cfRule>
  </conditionalFormatting>
  <conditionalFormatting sqref="G256">
    <cfRule type="expression" dxfId="19" priority="16">
      <formula>(D256="t")</formula>
    </cfRule>
  </conditionalFormatting>
  <conditionalFormatting sqref="G261">
    <cfRule type="expression" dxfId="18" priority="19">
      <formula>(D261="t")</formula>
    </cfRule>
  </conditionalFormatting>
  <pageMargins left="0.70866141732283472" right="0.70866141732283472" top="0.74803149606299213" bottom="0.74803149606299213" header="0.31496062992125984" footer="0.31496062992125984"/>
  <pageSetup paperSize="9" scale="75" orientation="landscape" verticalDpi="0" r:id="rId1"/>
  <headerFooter>
    <oddHeader>&amp;L&amp;"-,Lihavoitu"&amp;12PIIP-laskentatyökalu&amp;RFytoremediaatio
Sivu &amp;P/&amp;N</oddHeader>
    <oddFooter>&amp;L&amp;G&amp;R&amp;G</oddFooter>
  </headerFooter>
  <ignoredErrors>
    <ignoredError sqref="K278 K281 R281 K284 R284 K287 R287" formula="1"/>
  </ignoredErrors>
  <legacy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32" id="{CE29D432-3789-4EAD-B5EB-0D08AFC9D0FA}">
            <xm:f>$C$48=Pudotusvalikot!$D$68</xm:f>
            <x14:dxf>
              <fill>
                <patternFill>
                  <bgColor theme="2" tint="0.59996337778862885"/>
                </patternFill>
              </fill>
            </x14:dxf>
          </x14:cfRule>
          <xm:sqref>L40:L41 L44:L45 L48:L49</xm:sqref>
        </x14:conditionalFormatting>
        <x14:conditionalFormatting xmlns:xm="http://schemas.microsoft.com/office/excel/2006/main">
          <x14:cfRule type="expression" priority="26" id="{857BAE32-6D1B-41E6-A23F-508610ABAA9F}">
            <xm:f>#REF!=Pudotusvalikot!$D$68</xm:f>
            <x14:dxf>
              <fill>
                <patternFill>
                  <bgColor theme="2" tint="0.59996337778862885"/>
                </patternFill>
              </fill>
            </x14:dxf>
          </x14:cfRule>
          <xm:sqref>L190 L230 L234</xm:sqref>
        </x14:conditionalFormatting>
        <x14:conditionalFormatting xmlns:xm="http://schemas.microsoft.com/office/excel/2006/main">
          <x14:cfRule type="expression" priority="25" id="{8D175E4F-7677-4F20-B35E-AE9873839A9D}">
            <xm:f>#REF!=Pudotusvalikot!$D$68</xm:f>
            <x14:dxf>
              <fill>
                <patternFill>
                  <bgColor theme="2" tint="0.59996337778862885"/>
                </patternFill>
              </fill>
            </x14:dxf>
          </x14:cfRule>
          <xm:sqref>L194</xm:sqref>
        </x14:conditionalFormatting>
        <x14:conditionalFormatting xmlns:xm="http://schemas.microsoft.com/office/excel/2006/main">
          <x14:cfRule type="expression" priority="24" id="{7035880C-E3A3-4BFD-93C4-197C4CDD3D02}">
            <xm:f>#REF!=Pudotusvalikot!$D$68</xm:f>
            <x14:dxf>
              <fill>
                <patternFill>
                  <bgColor theme="2" tint="0.59996337778862885"/>
                </patternFill>
              </fill>
            </x14:dxf>
          </x14:cfRule>
          <xm:sqref>L201</xm:sqref>
        </x14:conditionalFormatting>
        <x14:conditionalFormatting xmlns:xm="http://schemas.microsoft.com/office/excel/2006/main">
          <x14:cfRule type="expression" priority="23" id="{E4B7C6FB-D70D-45A9-93FB-E1DF8F713D61}">
            <xm:f>#REF!=Pudotusvalikot!$D$68</xm:f>
            <x14:dxf>
              <fill>
                <patternFill>
                  <bgColor theme="2" tint="0.59996337778862885"/>
                </patternFill>
              </fill>
            </x14:dxf>
          </x14:cfRule>
          <xm:sqref>L205</xm:sqref>
        </x14:conditionalFormatting>
        <x14:conditionalFormatting xmlns:xm="http://schemas.microsoft.com/office/excel/2006/main">
          <x14:cfRule type="expression" priority="4" id="{795C0515-13A3-42D8-8E5A-4DC67A281EC9}">
            <xm:f>$C$47=Pudotusvalikot!$D$68</xm:f>
            <x14:dxf>
              <fill>
                <patternFill>
                  <bgColor theme="2" tint="0.59996337778862885"/>
                </patternFill>
              </fill>
            </x14:dxf>
          </x14:cfRule>
          <xm:sqref>L210</xm:sqref>
        </x14:conditionalFormatting>
        <x14:conditionalFormatting xmlns:xm="http://schemas.microsoft.com/office/excel/2006/main">
          <x14:cfRule type="expression" priority="2" id="{EB7F1E5F-6FC0-41F0-8BCA-DC59E82F084B}">
            <xm:f>$C$56=Pudotusvalikot!$D$68</xm:f>
            <x14:dxf>
              <fill>
                <patternFill>
                  <bgColor theme="2" tint="0.59996337778862885"/>
                </patternFill>
              </fill>
            </x14:dxf>
          </x14:cfRule>
          <xm:sqref>L213 L295:L296 L304</xm:sqref>
        </x14:conditionalFormatting>
        <x14:conditionalFormatting xmlns:xm="http://schemas.microsoft.com/office/excel/2006/main">
          <x14:cfRule type="expression" priority="3" id="{9EE86DEA-C6B5-4F5F-A670-37B0379897E8}">
            <xm:f>$C$56=Pudotusvalikot!$D$68</xm:f>
            <x14:dxf>
              <fill>
                <patternFill>
                  <bgColor theme="2" tint="0.59996337778862885"/>
                </patternFill>
              </fill>
            </x14:dxf>
          </x14:cfRule>
          <xm:sqref>L215</xm:sqref>
        </x14:conditionalFormatting>
        <x14:conditionalFormatting xmlns:xm="http://schemas.microsoft.com/office/excel/2006/main">
          <x14:cfRule type="expression" priority="15" id="{F0FB349D-3BD3-429F-B70E-DB552C4253D4}">
            <xm:f>$C$56=Pudotusvalikot!$D$68</xm:f>
            <x14:dxf>
              <fill>
                <patternFill>
                  <bgColor theme="2" tint="0.59996337778862885"/>
                </patternFill>
              </fill>
            </x14:dxf>
          </x14:cfRule>
          <xm:sqref>L217</xm:sqref>
        </x14:conditionalFormatting>
        <x14:conditionalFormatting xmlns:xm="http://schemas.microsoft.com/office/excel/2006/main">
          <x14:cfRule type="expression" priority="22" id="{3BE9CABE-3835-4C31-A9F2-1D818F572879}">
            <xm:f>$C$47=Pudotusvalikot!$D$68</xm:f>
            <x14:dxf>
              <fill>
                <patternFill>
                  <bgColor theme="2" tint="0.59996337778862885"/>
                </patternFill>
              </fill>
            </x14:dxf>
          </x14:cfRule>
          <xm:sqref>L218</xm:sqref>
        </x14:conditionalFormatting>
        <x14:conditionalFormatting xmlns:xm="http://schemas.microsoft.com/office/excel/2006/main">
          <x14:cfRule type="expression" priority="21" id="{2782027D-FB31-4EC9-98AA-4EB3208775A2}">
            <xm:f>#REF!=Pudotusvalikot!$D$68</xm:f>
            <x14:dxf>
              <fill>
                <patternFill>
                  <bgColor theme="2" tint="0.59996337778862885"/>
                </patternFill>
              </fill>
            </x14:dxf>
          </x14:cfRule>
          <xm:sqref>L226</xm:sqref>
        </x14:conditionalFormatting>
        <x14:conditionalFormatting xmlns:xm="http://schemas.microsoft.com/office/excel/2006/main">
          <x14:cfRule type="expression" priority="14" id="{9B47D53B-599D-409F-9243-98B3B56F34A7}">
            <xm:f>$C$56=Pudotusvalikot!$D$68</xm:f>
            <x14:dxf>
              <fill>
                <patternFill>
                  <bgColor theme="2" tint="0.59996337778862885"/>
                </patternFill>
              </fill>
            </x14:dxf>
          </x14:cfRule>
          <xm:sqref>L272</xm:sqref>
        </x14:conditionalFormatting>
        <x14:conditionalFormatting xmlns:xm="http://schemas.microsoft.com/office/excel/2006/main">
          <x14:cfRule type="expression" priority="8" id="{4246B6E8-99D6-4A65-A76F-F59E84FC8CEF}">
            <xm:f>$C$56=Pudotusvalikot!$D$68</xm:f>
            <x14:dxf>
              <fill>
                <patternFill>
                  <bgColor theme="2" tint="0.59996337778862885"/>
                </patternFill>
              </fill>
            </x14:dxf>
          </x14:cfRule>
          <xm:sqref>L275:L289</xm:sqref>
        </x14:conditionalFormatting>
        <x14:conditionalFormatting xmlns:xm="http://schemas.microsoft.com/office/excel/2006/main">
          <x14:cfRule type="expression" priority="13" id="{CEB26693-2C74-4CAA-BBE8-B1DE5D876319}">
            <xm:f>$C$56=Pudotusvalikot!$D$68</xm:f>
            <x14:dxf>
              <fill>
                <patternFill>
                  <bgColor theme="2" tint="0.59996337778862885"/>
                </patternFill>
              </fill>
            </x14:dxf>
          </x14:cfRule>
          <xm:sqref>L293</xm:sqref>
        </x14:conditionalFormatting>
        <x14:conditionalFormatting xmlns:xm="http://schemas.microsoft.com/office/excel/2006/main">
          <x14:cfRule type="expression" priority="7" id="{2EECF2BD-CB39-4441-9DDA-A9A1B2513CB3}">
            <xm:f>$C$56=Pudotusvalikot!$D$68</xm:f>
            <x14:dxf>
              <fill>
                <patternFill>
                  <bgColor theme="2" tint="0.59996337778862885"/>
                </patternFill>
              </fill>
            </x14:dxf>
          </x14:cfRule>
          <xm:sqref>L302</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843A7ABD-113A-4C6D-BB82-735CE09895A4}">
          <x14:formula1>
            <xm:f>Pudotusvalikot!$D$14:$D$65</xm:f>
          </x14:formula1>
          <xm:sqref>C157 C242 C247 C252 C257 C262 C102 C107 C112 C11 C21 C62 C67 C72 C77 C57 C16 C181 C149 C173 C165 C97 C117</xm:sqref>
        </x14:dataValidation>
        <x14:dataValidation type="list" errorStyle="warning" allowBlank="1" showInputMessage="1" showErrorMessage="1" xr:uid="{E2C15DD6-2DB1-4741-92A8-31DC55AC1F3D}">
          <x14:formula1>
            <xm:f>Pudotusvalikot!$B$3:$B$5</xm:f>
          </x14:formula1>
          <xm:sqref>C26 C121 C81 C265:C267</xm:sqref>
        </x14:dataValidation>
        <x14:dataValidation type="list" allowBlank="1" showInputMessage="1" showErrorMessage="1" xr:uid="{4B57F3CB-65CB-46AE-9A5B-DD8C174CFD41}">
          <x14:formula1>
            <xm:f>Pudotusvalikot!$D$67:$D$92</xm:f>
          </x14:formula1>
          <xm:sqref>C190 C234 C226 C230 C201 C194 C205</xm:sqref>
        </x14:dataValidation>
        <x14:dataValidation type="list" allowBlank="1" showInputMessage="1" showErrorMessage="1" xr:uid="{A995F9B8-15DF-4711-914C-E7D68524AE49}">
          <x14:formula1>
            <xm:f>Pudotusvalikot!$D$67:$D$106</xm:f>
          </x14:formula1>
          <xm:sqref>C40 C48 C44</xm:sqref>
        </x14:dataValidation>
        <x14:dataValidation type="list" allowBlank="1" showInputMessage="1" showErrorMessage="1" xr:uid="{E7AC4E5C-A602-4DE8-9DA8-7CFB042E0788}">
          <x14:formula1>
            <xm:f>Pudotusvalikot!$J$3:$J$9</xm:f>
          </x14:formula1>
          <xm:sqref>C218</xm:sqref>
        </x14:dataValidation>
        <x14:dataValidation type="list" allowBlank="1" showInputMessage="1" showErrorMessage="1" xr:uid="{A71A7659-7BEA-46FE-B9B9-5F004879291E}">
          <x14:formula1>
            <xm:f>Pudotusvalikot!$N$3:$N$7</xm:f>
          </x14:formula1>
          <xm:sqref>C151:C153 C159:C161 C175:C177 C167:C169 C183:C185</xm:sqref>
        </x14:dataValidation>
        <x14:dataValidation type="list" allowBlank="1" showInputMessage="1" showErrorMessage="1" xr:uid="{8682A177-440F-4C9B-B1A3-7E2C7168C0B5}">
          <x14:formula1>
            <xm:f>Pudotusvalikot!$F$3:$F$7</xm:f>
          </x14:formula1>
          <xm:sqref>F91 D61 D71 D76 D256 D246 D91 D85:D89 D261 D66 D56 D251 D241</xm:sqref>
        </x14:dataValidation>
        <x14:dataValidation type="list" allowBlank="1" showInputMessage="1" showErrorMessage="1" xr:uid="{B3D3F961-8208-4840-AA80-D5B6D1A5EEA6}">
          <x14:formula1>
            <xm:f>Pudotusvalikot!$V$3:$V$9</xm:f>
          </x14:formula1>
          <xm:sqref>C12 C17 C22 C31 C33 C35 C41 C45 C49 C58 C63 C68 C73 C78 C98 C103 C108 C113 C118 C150 C158 C166 C174 C182 C191 C195 C202 C206 C227 C231 C235 C243 C248 C253 C258 C263 C294 C273</xm:sqref>
        </x14:dataValidation>
        <x14:dataValidation type="list" allowBlank="1" showInputMessage="1" showErrorMessage="1" xr:uid="{8A2F37A0-CA39-4446-AC8B-1F3A5A088C58}">
          <x14:formula1>
            <xm:f>Pudotusvalikot!$J$3:$J$11</xm:f>
          </x14:formula1>
          <xm:sqref>C304 C217</xm:sqref>
        </x14:dataValidation>
        <x14:dataValidation type="list" allowBlank="1" showInputMessage="1" showErrorMessage="1" xr:uid="{89F2FB16-4351-4F8E-AE52-ADBA94E0201B}">
          <x14:formula1>
            <xm:f>Pudotusvalikot!$N$14:$N$33</xm:f>
          </x14:formula1>
          <xm:sqref>C126:D126 C129:D129 C132:D132 C135:D135 C138:D138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A1007-37B9-4294-9C69-AC0CC49A7687}">
  <sheetPr codeName="Sheet9">
    <tabColor theme="5" tint="0.79998168889431442"/>
  </sheetPr>
  <dimension ref="B1:BG421"/>
  <sheetViews>
    <sheetView workbookViewId="0">
      <pane xSplit="1" ySplit="6" topLeftCell="B7" activePane="bottomRight" state="frozen"/>
      <selection pane="topRight" activeCell="B1" sqref="B1"/>
      <selection pane="bottomLeft" activeCell="A7" sqref="A7"/>
      <selection pane="bottomRight" activeCell="C4" sqref="C4"/>
    </sheetView>
  </sheetViews>
  <sheetFormatPr defaultColWidth="9" defaultRowHeight="13.9" customHeight="1" x14ac:dyDescent="0.2"/>
  <cols>
    <col min="1" max="1" width="2.75" style="5" customWidth="1"/>
    <col min="2" max="2" width="95.375" style="5" customWidth="1"/>
    <col min="3" max="3" width="16.625" style="12" customWidth="1"/>
    <col min="4" max="4" width="16.125" style="84" customWidth="1"/>
    <col min="5" max="5" width="2.25" style="5" customWidth="1"/>
    <col min="6" max="6" width="3.75" style="5" customWidth="1"/>
    <col min="7" max="7" width="16.375" style="12" customWidth="1"/>
    <col min="8" max="8" width="8" style="84" customWidth="1"/>
    <col min="9" max="9" width="3.75" style="5" customWidth="1"/>
    <col min="10" max="10" width="60.75" style="14" customWidth="1"/>
    <col min="11" max="12" width="15.75" style="12" customWidth="1"/>
    <col min="13" max="13" width="11" style="84" bestFit="1" customWidth="1"/>
    <col min="14" max="14" width="2.625" style="84" customWidth="1"/>
    <col min="15" max="15" width="80.625" style="84" customWidth="1"/>
    <col min="16" max="16" width="2.75" style="5" customWidth="1"/>
    <col min="17" max="17" width="2.75" style="34" customWidth="1"/>
    <col min="18" max="18" width="15.75" style="95" customWidth="1"/>
    <col min="19" max="19" width="15.75" style="35" customWidth="1"/>
    <col min="20" max="20" width="26.875" style="35" bestFit="1" customWidth="1"/>
    <col min="21" max="37" width="25.75" style="21" customWidth="1"/>
    <col min="38" max="39" width="15.75" style="21" customWidth="1"/>
    <col min="40" max="41" width="9" style="21"/>
    <col min="42" max="59" width="9" style="22"/>
    <col min="60" max="16384" width="9" style="5"/>
  </cols>
  <sheetData>
    <row r="1" spans="2:59" s="30" customFormat="1" ht="15" x14ac:dyDescent="0.2">
      <c r="C1" s="33"/>
      <c r="D1" s="81"/>
      <c r="G1" s="33"/>
      <c r="H1" s="81"/>
      <c r="J1" s="32"/>
      <c r="K1" s="33"/>
      <c r="L1" s="33"/>
      <c r="M1" s="81"/>
      <c r="N1" s="81"/>
      <c r="O1" s="81"/>
      <c r="Q1" s="34"/>
      <c r="R1" s="95"/>
      <c r="S1" s="35"/>
      <c r="T1" s="35"/>
      <c r="U1" s="35"/>
      <c r="V1" s="35"/>
      <c r="W1" s="35"/>
      <c r="X1" s="35"/>
      <c r="Y1" s="35"/>
      <c r="Z1" s="35"/>
      <c r="AA1" s="35"/>
      <c r="AB1" s="35"/>
      <c r="AC1" s="35"/>
      <c r="AD1" s="35"/>
      <c r="AE1" s="35"/>
      <c r="AF1" s="35"/>
      <c r="AG1" s="35"/>
      <c r="AH1" s="35"/>
      <c r="AI1" s="35"/>
      <c r="AJ1" s="35"/>
      <c r="AK1" s="35"/>
      <c r="AL1" s="35"/>
      <c r="AM1" s="35"/>
      <c r="AN1" s="35"/>
      <c r="AO1" s="35"/>
      <c r="AP1" s="36"/>
      <c r="AQ1" s="36"/>
      <c r="AR1" s="36"/>
      <c r="AS1" s="36"/>
      <c r="AT1" s="36"/>
      <c r="AU1" s="36"/>
      <c r="AV1" s="36"/>
      <c r="AW1" s="36"/>
      <c r="AX1" s="36"/>
      <c r="AY1" s="36"/>
      <c r="AZ1" s="36"/>
      <c r="BA1" s="36"/>
      <c r="BB1" s="36"/>
      <c r="BC1" s="36"/>
      <c r="BD1" s="36"/>
      <c r="BE1" s="36"/>
      <c r="BF1" s="36"/>
      <c r="BG1" s="36"/>
    </row>
    <row r="2" spans="2:59" s="24" customFormat="1" ht="30" x14ac:dyDescent="0.2">
      <c r="B2" s="7" t="s">
        <v>53</v>
      </c>
      <c r="C2" s="364"/>
      <c r="D2" s="365"/>
      <c r="E2" s="366"/>
      <c r="F2" s="367" t="s">
        <v>583</v>
      </c>
      <c r="G2" s="368" t="str">
        <f>IF(OR(ISNUMBER(C4),ISNUMBER(C5)),U415,"")</f>
        <v/>
      </c>
      <c r="H2" s="369" t="s">
        <v>160</v>
      </c>
      <c r="J2" s="25"/>
      <c r="K2" s="26"/>
      <c r="L2" s="26"/>
      <c r="M2" s="82"/>
      <c r="N2" s="82"/>
      <c r="O2" s="82"/>
      <c r="Q2" s="34"/>
      <c r="R2" s="95"/>
      <c r="S2" s="35"/>
      <c r="T2" s="35"/>
      <c r="U2" s="35"/>
      <c r="V2" s="28"/>
      <c r="W2" s="28"/>
      <c r="X2" s="28"/>
      <c r="Y2" s="28"/>
      <c r="Z2" s="28"/>
      <c r="AA2" s="28"/>
      <c r="AB2" s="28"/>
      <c r="AC2" s="28"/>
      <c r="AD2" s="28"/>
      <c r="AE2" s="28"/>
      <c r="AF2" s="28"/>
      <c r="AG2" s="28"/>
      <c r="AH2" s="28"/>
      <c r="AI2" s="28"/>
      <c r="AJ2" s="28"/>
      <c r="AK2" s="28"/>
      <c r="AL2" s="28"/>
      <c r="AM2" s="28"/>
      <c r="AN2" s="28"/>
      <c r="AO2" s="28"/>
      <c r="AP2" s="29"/>
      <c r="AQ2" s="29"/>
      <c r="AR2" s="29"/>
      <c r="AS2" s="29"/>
      <c r="AT2" s="29"/>
      <c r="AU2" s="29"/>
      <c r="AV2" s="29"/>
      <c r="AW2" s="29"/>
      <c r="AX2" s="29"/>
      <c r="AY2" s="29"/>
      <c r="AZ2" s="29"/>
      <c r="BA2" s="29"/>
      <c r="BB2" s="29"/>
      <c r="BC2" s="29"/>
      <c r="BD2" s="29"/>
      <c r="BE2" s="29"/>
      <c r="BF2" s="29"/>
      <c r="BG2" s="29"/>
    </row>
    <row r="3" spans="2:59" s="30" customFormat="1" ht="15" x14ac:dyDescent="0.2">
      <c r="C3" s="33"/>
      <c r="D3" s="81"/>
      <c r="G3" s="33"/>
      <c r="H3" s="81"/>
      <c r="J3" s="32"/>
      <c r="K3" s="33"/>
      <c r="L3" s="33"/>
      <c r="M3" s="81"/>
      <c r="N3" s="81"/>
      <c r="O3" s="81"/>
      <c r="Q3" s="34"/>
      <c r="R3" s="95"/>
      <c r="S3" s="35"/>
      <c r="T3" s="35"/>
      <c r="U3" s="35"/>
      <c r="V3" s="35"/>
      <c r="W3" s="35"/>
      <c r="X3" s="35"/>
      <c r="Y3" s="35"/>
      <c r="Z3" s="35"/>
      <c r="AA3" s="35"/>
      <c r="AB3" s="35"/>
      <c r="AC3" s="35"/>
      <c r="AD3" s="35"/>
      <c r="AE3" s="35"/>
      <c r="AF3" s="35"/>
      <c r="AG3" s="35"/>
      <c r="AH3" s="35"/>
      <c r="AI3" s="35"/>
      <c r="AJ3" s="35"/>
      <c r="AK3" s="35"/>
      <c r="AL3" s="35"/>
      <c r="AM3" s="35"/>
      <c r="AN3" s="35"/>
      <c r="AO3" s="35"/>
      <c r="AP3" s="36"/>
      <c r="AQ3" s="36"/>
      <c r="AR3" s="36"/>
      <c r="AS3" s="36"/>
      <c r="AT3" s="36"/>
      <c r="AU3" s="36"/>
      <c r="AV3" s="36"/>
      <c r="AW3" s="36"/>
      <c r="AX3" s="36"/>
      <c r="AY3" s="36"/>
      <c r="AZ3" s="36"/>
      <c r="BA3" s="36"/>
      <c r="BB3" s="36"/>
      <c r="BC3" s="36"/>
      <c r="BD3" s="36"/>
      <c r="BE3" s="36"/>
      <c r="BF3" s="36"/>
      <c r="BG3" s="36"/>
    </row>
    <row r="4" spans="2:59" s="30" customFormat="1" ht="24.95" customHeight="1" x14ac:dyDescent="0.2">
      <c r="B4" s="79" t="s">
        <v>682</v>
      </c>
      <c r="C4" s="150"/>
      <c r="D4" s="81" t="str">
        <f>IF(ISBLANK(C4),"%","")</f>
        <v>%</v>
      </c>
      <c r="G4" s="171" t="str">
        <f>IF(ISNUMBER(C4),C4*'Kohdetiedot ja yhteenveto'!D12,"")</f>
        <v/>
      </c>
      <c r="H4" s="81" t="s">
        <v>163</v>
      </c>
      <c r="J4" s="32"/>
      <c r="K4" s="33"/>
      <c r="L4" s="33"/>
      <c r="M4" s="81"/>
      <c r="N4" s="81"/>
      <c r="O4" s="81"/>
      <c r="Q4" s="34"/>
      <c r="R4" s="95"/>
      <c r="S4" s="35"/>
      <c r="T4" s="35"/>
      <c r="U4" s="35"/>
      <c r="V4" s="35"/>
      <c r="W4" s="35"/>
      <c r="X4" s="35"/>
      <c r="Y4" s="35"/>
      <c r="Z4" s="35"/>
      <c r="AA4" s="35"/>
      <c r="AB4" s="35"/>
      <c r="AC4" s="35"/>
      <c r="AD4" s="35"/>
      <c r="AE4" s="35"/>
      <c r="AF4" s="35"/>
      <c r="AG4" s="35"/>
      <c r="AH4" s="35"/>
      <c r="AI4" s="35"/>
      <c r="AJ4" s="35"/>
      <c r="AK4" s="35"/>
      <c r="AL4" s="35"/>
      <c r="AM4" s="35"/>
      <c r="AN4" s="35"/>
      <c r="AO4" s="35"/>
      <c r="AP4" s="36"/>
      <c r="AQ4" s="36"/>
      <c r="AR4" s="36"/>
      <c r="AS4" s="36"/>
      <c r="AT4" s="36"/>
      <c r="AU4" s="36"/>
      <c r="AV4" s="36"/>
      <c r="AW4" s="36"/>
      <c r="AX4" s="36"/>
      <c r="AY4" s="36"/>
      <c r="AZ4" s="36"/>
      <c r="BA4" s="36"/>
      <c r="BB4" s="36"/>
      <c r="BC4" s="36"/>
      <c r="BD4" s="36"/>
      <c r="BE4" s="36"/>
      <c r="BF4" s="36"/>
      <c r="BG4" s="36"/>
    </row>
    <row r="5" spans="2:59" s="30" customFormat="1" ht="24.95" customHeight="1" x14ac:dyDescent="0.2">
      <c r="B5" s="79" t="s">
        <v>679</v>
      </c>
      <c r="C5" s="150"/>
      <c r="D5" s="81" t="str">
        <f>IF(ISBLANK(C5),"%","")</f>
        <v>%</v>
      </c>
      <c r="G5" s="171" t="str">
        <f>IF(ISNUMBER(C5),C5*'Kohdetiedot ja yhteenveto'!D13,"")</f>
        <v/>
      </c>
      <c r="H5" s="81" t="s">
        <v>194</v>
      </c>
      <c r="J5" s="32"/>
      <c r="K5" s="33"/>
      <c r="L5" s="33"/>
      <c r="M5" s="81"/>
      <c r="N5" s="81"/>
      <c r="O5" s="81"/>
      <c r="Q5" s="34"/>
      <c r="R5" s="95"/>
      <c r="S5" s="35"/>
      <c r="T5" s="35"/>
      <c r="U5" s="35"/>
      <c r="V5" s="35"/>
      <c r="W5" s="35"/>
      <c r="X5" s="35"/>
      <c r="Y5" s="35"/>
      <c r="Z5" s="35"/>
      <c r="AA5" s="35"/>
      <c r="AB5" s="35"/>
      <c r="AC5" s="35"/>
      <c r="AD5" s="35"/>
      <c r="AE5" s="35"/>
      <c r="AF5" s="35"/>
      <c r="AG5" s="35"/>
      <c r="AH5" s="35"/>
      <c r="AI5" s="35"/>
      <c r="AJ5" s="35"/>
      <c r="AK5" s="35"/>
      <c r="AL5" s="35"/>
      <c r="AM5" s="35"/>
      <c r="AN5" s="35"/>
      <c r="AO5" s="35"/>
      <c r="AP5" s="36"/>
      <c r="AQ5" s="36"/>
      <c r="AR5" s="36"/>
      <c r="AS5" s="36"/>
      <c r="AT5" s="36"/>
      <c r="AU5" s="36"/>
      <c r="AV5" s="36"/>
      <c r="AW5" s="36"/>
      <c r="AX5" s="36"/>
      <c r="AY5" s="36"/>
      <c r="AZ5" s="36"/>
      <c r="BA5" s="36"/>
      <c r="BB5" s="36"/>
      <c r="BC5" s="36"/>
      <c r="BD5" s="36"/>
      <c r="BE5" s="36"/>
      <c r="BF5" s="36"/>
      <c r="BG5" s="36"/>
    </row>
    <row r="6" spans="2:59" s="30" customFormat="1" ht="15" x14ac:dyDescent="0.2">
      <c r="C6" s="33"/>
      <c r="D6" s="81"/>
      <c r="G6" s="33"/>
      <c r="H6" s="81"/>
      <c r="J6" s="32"/>
      <c r="K6" s="33"/>
      <c r="L6" s="33"/>
      <c r="M6" s="81"/>
      <c r="N6" s="81"/>
      <c r="O6" s="81"/>
      <c r="Q6" s="34"/>
      <c r="R6" s="95"/>
      <c r="S6" s="35"/>
      <c r="T6" s="35"/>
      <c r="U6" s="35"/>
      <c r="V6" s="35"/>
      <c r="W6" s="35"/>
      <c r="X6" s="35"/>
      <c r="Y6" s="35"/>
      <c r="Z6" s="35"/>
      <c r="AA6" s="35"/>
      <c r="AB6" s="35"/>
      <c r="AC6" s="35"/>
      <c r="AD6" s="35"/>
      <c r="AE6" s="35"/>
      <c r="AF6" s="35"/>
      <c r="AG6" s="35"/>
      <c r="AH6" s="35"/>
      <c r="AI6" s="35"/>
      <c r="AJ6" s="35"/>
      <c r="AK6" s="35"/>
      <c r="AL6" s="35"/>
      <c r="AM6" s="35"/>
      <c r="AN6" s="35"/>
      <c r="AO6" s="35"/>
      <c r="AP6" s="36"/>
      <c r="AQ6" s="36"/>
      <c r="AR6" s="36"/>
      <c r="AS6" s="36"/>
      <c r="AT6" s="36"/>
      <c r="AU6" s="36"/>
      <c r="AV6" s="36"/>
      <c r="AW6" s="36"/>
      <c r="AX6" s="36"/>
      <c r="AY6" s="36"/>
      <c r="AZ6" s="36"/>
      <c r="BA6" s="36"/>
      <c r="BB6" s="36"/>
      <c r="BC6" s="36"/>
      <c r="BD6" s="36"/>
      <c r="BE6" s="36"/>
      <c r="BF6" s="36"/>
      <c r="BG6" s="36"/>
    </row>
    <row r="7" spans="2:59" s="289" customFormat="1" ht="18" x14ac:dyDescent="0.2">
      <c r="B7" s="286" t="s">
        <v>42</v>
      </c>
      <c r="C7" s="287"/>
      <c r="D7" s="288"/>
      <c r="G7" s="287"/>
      <c r="H7" s="288"/>
      <c r="K7" s="287"/>
      <c r="L7" s="287"/>
      <c r="M7" s="288"/>
      <c r="N7" s="288"/>
      <c r="O7" s="291"/>
      <c r="P7" s="311"/>
      <c r="Q7" s="295"/>
      <c r="R7" s="289" t="str">
        <f>IF(OR(ISNUMBER(#REF!),ISNUMBER(#REF!),ISNUMBER(#REF!)),SUM(#REF!,#REF!,#REF!),"")</f>
        <v/>
      </c>
      <c r="S7" s="294"/>
      <c r="T7" s="294"/>
      <c r="U7" s="294"/>
      <c r="V7" s="294"/>
      <c r="W7" s="294"/>
      <c r="X7" s="294"/>
      <c r="Y7" s="294"/>
      <c r="Z7" s="294"/>
      <c r="AA7" s="294"/>
      <c r="AB7" s="294"/>
      <c r="AC7" s="294"/>
      <c r="AD7" s="294"/>
      <c r="AE7" s="294"/>
      <c r="AF7" s="294"/>
      <c r="AG7" s="294"/>
      <c r="AH7" s="294"/>
      <c r="AI7" s="294"/>
      <c r="AJ7" s="294"/>
      <c r="AK7" s="294"/>
      <c r="AL7" s="294"/>
      <c r="AM7" s="294"/>
      <c r="AN7" s="295"/>
      <c r="AO7" s="295"/>
      <c r="AP7" s="295"/>
      <c r="AQ7" s="295"/>
      <c r="AR7" s="295"/>
      <c r="AS7" s="295"/>
      <c r="AT7" s="295"/>
      <c r="AU7" s="295"/>
      <c r="AV7" s="295"/>
      <c r="AW7" s="295"/>
      <c r="AX7" s="295"/>
      <c r="AY7" s="295"/>
      <c r="AZ7" s="295"/>
      <c r="BA7" s="295"/>
      <c r="BB7" s="295"/>
      <c r="BC7" s="295"/>
      <c r="BD7" s="295"/>
      <c r="BE7" s="295"/>
    </row>
    <row r="8" spans="2:59" s="30" customFormat="1" ht="15.75" x14ac:dyDescent="0.2">
      <c r="B8" s="8"/>
      <c r="C8" s="33"/>
      <c r="D8" s="81"/>
      <c r="G8" s="33" t="s">
        <v>43</v>
      </c>
      <c r="H8" s="81"/>
      <c r="K8" s="37" t="s">
        <v>297</v>
      </c>
      <c r="L8" s="37" t="s">
        <v>185</v>
      </c>
      <c r="M8" s="81"/>
      <c r="N8" s="81"/>
      <c r="O8" s="249" t="s">
        <v>584</v>
      </c>
      <c r="Q8" s="34"/>
      <c r="R8" s="43" t="s">
        <v>318</v>
      </c>
      <c r="S8" s="35"/>
      <c r="T8" s="35" t="s">
        <v>238</v>
      </c>
      <c r="U8" s="35" t="s">
        <v>239</v>
      </c>
      <c r="V8" s="35" t="s">
        <v>240</v>
      </c>
      <c r="W8" s="35" t="s">
        <v>243</v>
      </c>
      <c r="X8" s="35" t="s">
        <v>241</v>
      </c>
      <c r="Y8" s="43" t="s">
        <v>242</v>
      </c>
      <c r="Z8" s="35" t="s">
        <v>244</v>
      </c>
      <c r="AA8" s="104"/>
      <c r="AB8" s="35"/>
      <c r="AC8" s="35"/>
      <c r="AD8" s="35"/>
      <c r="AE8" s="35"/>
      <c r="AF8" s="35"/>
      <c r="AG8" s="35"/>
      <c r="AH8" s="35"/>
      <c r="AI8" s="35"/>
      <c r="AJ8" s="35"/>
      <c r="AK8" s="35"/>
      <c r="AL8" s="35"/>
      <c r="AM8" s="35"/>
      <c r="AN8" s="36"/>
      <c r="AO8" s="36"/>
      <c r="AP8" s="36"/>
      <c r="AQ8" s="36"/>
      <c r="AR8" s="36"/>
      <c r="AS8" s="36"/>
      <c r="AT8" s="36"/>
      <c r="AU8" s="36"/>
      <c r="AV8" s="36"/>
      <c r="AW8" s="36"/>
      <c r="AX8" s="36"/>
      <c r="AY8" s="36"/>
      <c r="AZ8" s="36"/>
      <c r="BA8" s="36"/>
      <c r="BB8" s="36"/>
      <c r="BC8" s="36"/>
      <c r="BD8" s="36"/>
      <c r="BE8" s="36"/>
      <c r="BF8" s="104"/>
      <c r="BG8" s="104"/>
    </row>
    <row r="9" spans="2:59" s="30" customFormat="1" ht="15" x14ac:dyDescent="0.2">
      <c r="B9" s="52" t="s">
        <v>530</v>
      </c>
      <c r="C9" s="156"/>
      <c r="D9" s="81" t="s">
        <v>215</v>
      </c>
      <c r="G9" s="156"/>
      <c r="H9" s="81" t="s">
        <v>44</v>
      </c>
      <c r="J9" s="32" t="s">
        <v>514</v>
      </c>
      <c r="K9" s="108" t="str">
        <f>IFERROR(IF(ISNUMBER(L9),L9,VLOOKUP(C13,Kalusto!$C$100:$E$105,3,FALSE)),"--")</f>
        <v>--</v>
      </c>
      <c r="L9" s="61"/>
      <c r="M9" s="75" t="str">
        <f>IF(C11=Pudotusvalikot!$J$9,"kWh/100 km",IF(C11=Pudotusvalikot!$J$6,"kg/100 km","l/100 km"))</f>
        <v>l/100 km</v>
      </c>
      <c r="N9" s="75"/>
      <c r="O9" s="250"/>
      <c r="Q9" s="34"/>
      <c r="R9" s="105">
        <f>SUM(U9:Z9)</f>
        <v>0</v>
      </c>
      <c r="S9" s="98" t="s">
        <v>160</v>
      </c>
      <c r="T9" s="46">
        <f>IF(ISNUMBER(C10*C9*G9),C10*C9*G9,"")</f>
        <v>0</v>
      </c>
      <c r="U9" s="48">
        <f>IF(ISNUMBER(T9),IF(C13=Pudotusvalikot!$J$5,(Muut!$F$16+Muut!$F$19)*(T9*K9/100),0),"")</f>
        <v>0</v>
      </c>
      <c r="V9" s="48">
        <f>IF(ISNUMBER(T9),IF(C13=Pudotusvalikot!$J$4,(Muut!$F$15+Muut!$F$18)*(T9*K9/100),0),"")</f>
        <v>0</v>
      </c>
      <c r="W9" s="48">
        <f>IF(ISNUMBER(T9),IF(C13=Pudotusvalikot!$J$6,(Muut!$F$17+Muut!$F$20)*(T9*K9/100),0),"")</f>
        <v>0</v>
      </c>
      <c r="X9" s="48">
        <f>IF(ISNUMBER(T9),IF(C13=Pudotusvalikot!$J$7,((Muut!$F$16+Muut!$F$19)*(100%-Kalusto!$O$103)+(Muut!$F$15+Muut!$F$18)*Kalusto!$O$103)*(T9*K9/100),0),"")</f>
        <v>0</v>
      </c>
      <c r="Y9" s="72">
        <f>IF(ISNUMBER(T9),IF(C13=Pudotusvalikot!$J$8,(Kalusto!$K$104*(100%-Kalusto!$O$104)+(Kalusto!$M$104)*Kalusto!$O$104)*(Muut!$F$14+Muut!$F$13)/100*T9/1000+(Kalusto!$G$104*(100%-Kalusto!$O$104)+(Kalusto!$I$104)*Kalusto!$O$104)*(K9+Muut!$F$19)/100*T9,0),"")</f>
        <v>0</v>
      </c>
      <c r="Z9" s="72">
        <f>IF(ISNUMBER(T9),IF(C13=Pudotusvalikot!$J$9,Kalusto!$E$105*(K9+Muut!$F$13)/100*T9/1000,0),"")</f>
        <v>0</v>
      </c>
      <c r="AA9" s="104"/>
      <c r="AB9" s="35"/>
      <c r="AC9" s="35"/>
      <c r="AD9" s="35"/>
      <c r="AE9" s="35"/>
      <c r="AF9" s="35"/>
      <c r="AG9" s="35"/>
      <c r="AH9" s="35"/>
      <c r="AI9" s="35"/>
      <c r="AJ9" s="35"/>
      <c r="AK9" s="35"/>
      <c r="AL9" s="35"/>
      <c r="AM9" s="35"/>
      <c r="AN9" s="36"/>
      <c r="AO9" s="36"/>
      <c r="AP9" s="36"/>
      <c r="AQ9" s="36"/>
      <c r="AR9" s="36"/>
      <c r="AS9" s="36"/>
      <c r="AT9" s="36"/>
      <c r="AU9" s="36"/>
      <c r="AV9" s="36"/>
      <c r="AW9" s="36"/>
      <c r="AX9" s="36"/>
      <c r="AY9" s="36"/>
      <c r="AZ9" s="36"/>
      <c r="BA9" s="36"/>
      <c r="BB9" s="36"/>
      <c r="BC9" s="36"/>
      <c r="BD9" s="36"/>
      <c r="BE9" s="36"/>
    </row>
    <row r="10" spans="2:59" s="30" customFormat="1" ht="15" x14ac:dyDescent="0.2">
      <c r="B10" s="44" t="s">
        <v>529</v>
      </c>
      <c r="C10" s="156"/>
      <c r="D10" s="81" t="s">
        <v>5</v>
      </c>
      <c r="G10" s="33"/>
      <c r="H10" s="81"/>
      <c r="K10" s="130"/>
      <c r="L10" s="37"/>
      <c r="M10" s="81"/>
      <c r="N10" s="81"/>
      <c r="Q10" s="34"/>
      <c r="R10" s="43" t="s">
        <v>318</v>
      </c>
      <c r="S10" s="35"/>
      <c r="T10" s="35" t="s">
        <v>238</v>
      </c>
      <c r="U10" s="35" t="s">
        <v>239</v>
      </c>
      <c r="V10" s="35" t="s">
        <v>240</v>
      </c>
      <c r="W10" s="35" t="s">
        <v>243</v>
      </c>
      <c r="X10" s="35" t="s">
        <v>241</v>
      </c>
      <c r="Y10" s="43" t="s">
        <v>242</v>
      </c>
      <c r="Z10" s="35" t="s">
        <v>244</v>
      </c>
      <c r="AA10" s="104"/>
      <c r="AB10" s="35"/>
      <c r="AC10" s="35"/>
      <c r="AD10" s="35"/>
      <c r="AE10" s="35"/>
      <c r="AF10" s="35"/>
      <c r="AG10" s="35"/>
      <c r="AH10" s="35"/>
      <c r="AI10" s="35"/>
      <c r="AJ10" s="35"/>
      <c r="AK10" s="35"/>
      <c r="AL10" s="35"/>
      <c r="AM10" s="35"/>
      <c r="AN10" s="36"/>
      <c r="AO10" s="36"/>
      <c r="AP10" s="36"/>
      <c r="AQ10" s="36"/>
      <c r="AR10" s="36"/>
      <c r="AS10" s="36"/>
      <c r="AT10" s="36"/>
      <c r="AU10" s="36"/>
      <c r="AV10" s="36"/>
      <c r="AW10" s="36"/>
      <c r="AX10" s="36"/>
      <c r="AY10" s="36"/>
      <c r="AZ10" s="36"/>
      <c r="BA10" s="36"/>
      <c r="BB10" s="36"/>
      <c r="BC10" s="36"/>
      <c r="BD10" s="36"/>
      <c r="BE10" s="36"/>
    </row>
    <row r="11" spans="2:59" s="30" customFormat="1" ht="15" x14ac:dyDescent="0.2">
      <c r="B11" s="52" t="s">
        <v>526</v>
      </c>
      <c r="C11" s="156"/>
      <c r="D11" s="81" t="s">
        <v>215</v>
      </c>
      <c r="G11" s="156"/>
      <c r="H11" s="81" t="s">
        <v>44</v>
      </c>
      <c r="J11" s="32" t="s">
        <v>224</v>
      </c>
      <c r="K11" s="108" t="str">
        <f>IFERROR(IF(ISNUMBER(L11),L11,VLOOKUP(C13,Kalusto!$C$100:$E$105,3,FALSE)),"--")</f>
        <v>--</v>
      </c>
      <c r="L11" s="61"/>
      <c r="M11" s="75" t="str">
        <f>IF(C13=Pudotusvalikot!$J$9,"kWh/100 km",IF(C13=Pudotusvalikot!$J$6,"kg/100 km","l/100 km"))</f>
        <v>l/100 km</v>
      </c>
      <c r="N11" s="75"/>
      <c r="O11" s="96"/>
      <c r="Q11" s="34"/>
      <c r="R11" s="105">
        <f>SUM(U11:Z11)</f>
        <v>0</v>
      </c>
      <c r="S11" s="98" t="s">
        <v>160</v>
      </c>
      <c r="T11" s="46">
        <f>IF(ISNUMBER(C12*C11*G11),C12*C11*G11,"")</f>
        <v>0</v>
      </c>
      <c r="U11" s="48">
        <f>IF(ISNUMBER(T11),IF(C13=Pudotusvalikot!$J$5,(Muut!$F$16+Muut!$F$19)*(T11*K11/100),0),"")</f>
        <v>0</v>
      </c>
      <c r="V11" s="48">
        <f>IF(ISNUMBER(T11),IF(C13=Pudotusvalikot!$J$4,(Muut!$F$15+Muut!$F$18)*(T11*K11/100),0),"")</f>
        <v>0</v>
      </c>
      <c r="W11" s="48">
        <f>IF(ISNUMBER(T11),IF(C13=Pudotusvalikot!$J$6,(Muut!$F$17+Muut!$F$20)*(T11*K11/100),0),"")</f>
        <v>0</v>
      </c>
      <c r="X11" s="48">
        <f>IF(ISNUMBER(T11),IF(C13=Pudotusvalikot!$J$7,((Muut!$F$16+Muut!$F$19)*(100%-Kalusto!$O$103)+(Muut!$F$15+Muut!$F$18)*Kalusto!$O$103)*(T11*K11/100),0),"")</f>
        <v>0</v>
      </c>
      <c r="Y11" s="72">
        <f>IF(ISNUMBER(T11),IF(C13=Pudotusvalikot!$J$8,((Kalusto!$K$104)*(100%-Kalusto!$O$104)+(Kalusto!$M$104)*Kalusto!$O$104)*(Muut!$F$14+Muut!$F$13)/100*T11/1000+((Kalusto!$G$104)*(100%-Kalusto!$O$104)+(Kalusto!$I$104)*Kalusto!$O$104)*(K11+Muut!$F$19)/100*T11,0),"")</f>
        <v>0</v>
      </c>
      <c r="Z11" s="72">
        <f>IF(ISNUMBER(T11),IF(C13=Pudotusvalikot!$J$9,Kalusto!$E$105*(K11+Muut!$F$13)/100*T11/1000,0),"")</f>
        <v>0</v>
      </c>
      <c r="AA11" s="104"/>
      <c r="AB11" s="35"/>
      <c r="AC11" s="35"/>
      <c r="AD11" s="35"/>
      <c r="AE11" s="35"/>
      <c r="AF11" s="35"/>
      <c r="AG11" s="35"/>
      <c r="AH11" s="35"/>
      <c r="AI11" s="35"/>
      <c r="AJ11" s="35"/>
      <c r="AK11" s="35"/>
      <c r="AL11" s="35"/>
      <c r="AM11" s="35"/>
      <c r="AN11" s="36"/>
      <c r="AO11" s="36"/>
      <c r="AP11" s="36"/>
      <c r="AQ11" s="36"/>
      <c r="AR11" s="36"/>
      <c r="AS11" s="36"/>
      <c r="AT11" s="36"/>
      <c r="AU11" s="36"/>
      <c r="AV11" s="36"/>
      <c r="AW11" s="36"/>
      <c r="AX11" s="36"/>
      <c r="AY11" s="36"/>
      <c r="AZ11" s="36"/>
      <c r="BA11" s="36"/>
      <c r="BB11" s="36"/>
      <c r="BC11" s="36"/>
      <c r="BD11" s="36"/>
      <c r="BE11" s="36"/>
      <c r="BF11" s="104"/>
      <c r="BG11" s="104"/>
    </row>
    <row r="12" spans="2:59" s="30" customFormat="1" ht="15" x14ac:dyDescent="0.2">
      <c r="B12" s="44" t="s">
        <v>525</v>
      </c>
      <c r="C12" s="157"/>
      <c r="D12" s="81" t="s">
        <v>5</v>
      </c>
      <c r="G12" s="33"/>
      <c r="H12" s="81"/>
      <c r="J12" s="32"/>
      <c r="K12" s="33"/>
      <c r="L12" s="33"/>
      <c r="M12" s="81"/>
      <c r="N12" s="81"/>
      <c r="O12" s="96"/>
      <c r="Q12" s="34"/>
      <c r="R12" s="95"/>
      <c r="S12" s="35"/>
      <c r="T12" s="35"/>
      <c r="U12" s="35"/>
      <c r="V12" s="35"/>
      <c r="W12" s="35"/>
      <c r="X12" s="35"/>
      <c r="Y12" s="35"/>
      <c r="Z12" s="35"/>
      <c r="AA12" s="35"/>
      <c r="AB12" s="35"/>
      <c r="AC12" s="35"/>
      <c r="AD12" s="35"/>
      <c r="AE12" s="35"/>
      <c r="AF12" s="35"/>
      <c r="AG12" s="35"/>
      <c r="AH12" s="35"/>
      <c r="AI12" s="35"/>
      <c r="AJ12" s="35"/>
      <c r="AK12" s="35"/>
      <c r="AL12" s="35"/>
      <c r="AM12" s="35"/>
      <c r="AN12" s="36"/>
      <c r="AO12" s="36"/>
      <c r="AP12" s="36"/>
      <c r="AQ12" s="36"/>
      <c r="AR12" s="36"/>
      <c r="AS12" s="36"/>
      <c r="AT12" s="36"/>
      <c r="AU12" s="36"/>
      <c r="AV12" s="36"/>
      <c r="AW12" s="36"/>
      <c r="AX12" s="36"/>
      <c r="AY12" s="36"/>
      <c r="AZ12" s="36"/>
      <c r="BA12" s="36"/>
      <c r="BB12" s="36"/>
      <c r="BC12" s="36"/>
      <c r="BD12" s="36"/>
      <c r="BE12" s="36"/>
      <c r="BF12" s="104"/>
      <c r="BG12" s="104"/>
    </row>
    <row r="13" spans="2:59" s="30" customFormat="1" ht="15" x14ac:dyDescent="0.2">
      <c r="B13" s="52" t="s">
        <v>524</v>
      </c>
      <c r="C13" s="474" t="s">
        <v>309</v>
      </c>
      <c r="D13" s="474"/>
      <c r="E13" s="12"/>
      <c r="G13" s="33"/>
      <c r="H13" s="81"/>
      <c r="J13" s="32"/>
      <c r="K13" s="33"/>
      <c r="L13" s="33"/>
      <c r="M13" s="81"/>
      <c r="N13" s="81"/>
      <c r="O13" s="96"/>
      <c r="Q13" s="34"/>
      <c r="R13" s="95"/>
      <c r="S13" s="35"/>
      <c r="T13" s="35"/>
      <c r="U13" s="35"/>
      <c r="V13" s="35"/>
      <c r="W13" s="35"/>
      <c r="X13" s="35"/>
      <c r="Y13" s="35"/>
      <c r="Z13" s="35"/>
      <c r="AA13" s="35"/>
      <c r="AB13" s="35"/>
      <c r="AC13" s="35"/>
      <c r="AD13" s="35"/>
      <c r="AE13" s="35"/>
      <c r="AF13" s="35"/>
      <c r="AG13" s="35"/>
      <c r="AH13" s="35"/>
      <c r="AI13" s="35"/>
      <c r="AJ13" s="35"/>
      <c r="AK13" s="35"/>
      <c r="AL13" s="35"/>
      <c r="AM13" s="35"/>
      <c r="AN13" s="36"/>
      <c r="AO13" s="36"/>
      <c r="AP13" s="36"/>
      <c r="AQ13" s="36"/>
      <c r="AR13" s="36"/>
      <c r="AS13" s="36"/>
      <c r="AT13" s="36"/>
      <c r="AU13" s="36"/>
      <c r="AV13" s="36"/>
      <c r="AW13" s="36"/>
      <c r="AX13" s="36"/>
      <c r="AY13" s="36"/>
      <c r="AZ13" s="36"/>
      <c r="BA13" s="36"/>
      <c r="BB13" s="36"/>
      <c r="BC13" s="36"/>
      <c r="BD13" s="36"/>
      <c r="BE13" s="36"/>
      <c r="BF13" s="104"/>
      <c r="BG13" s="104"/>
    </row>
    <row r="14" spans="2:59" s="30" customFormat="1" ht="15" x14ac:dyDescent="0.2">
      <c r="C14" s="33"/>
      <c r="D14" s="81"/>
      <c r="G14" s="33"/>
      <c r="K14" s="33"/>
      <c r="L14" s="33"/>
      <c r="M14" s="33"/>
      <c r="N14" s="33"/>
      <c r="O14" s="33"/>
      <c r="Q14" s="34"/>
      <c r="R14" s="9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6"/>
      <c r="AQ14" s="36"/>
      <c r="AR14" s="36"/>
      <c r="AS14" s="36"/>
      <c r="AT14" s="36"/>
      <c r="AU14" s="36"/>
      <c r="AV14" s="36"/>
      <c r="AW14" s="36"/>
      <c r="AX14" s="36"/>
      <c r="AY14" s="36"/>
      <c r="AZ14" s="36"/>
      <c r="BA14" s="36"/>
      <c r="BB14" s="36"/>
      <c r="BC14" s="36"/>
      <c r="BD14" s="36"/>
      <c r="BE14" s="36"/>
      <c r="BF14" s="36"/>
      <c r="BG14" s="36"/>
    </row>
    <row r="15" spans="2:59" ht="13.9" hidden="1" customHeight="1" x14ac:dyDescent="0.2"/>
    <row r="16" spans="2:59" ht="13.9" hidden="1" customHeight="1" x14ac:dyDescent="0.2"/>
    <row r="17" ht="13.9" hidden="1" customHeight="1" x14ac:dyDescent="0.2"/>
    <row r="18" ht="13.9" hidden="1" customHeight="1" x14ac:dyDescent="0.2"/>
    <row r="19" ht="13.9" hidden="1" customHeight="1" x14ac:dyDescent="0.2"/>
    <row r="20" ht="13.9" hidden="1" customHeight="1" x14ac:dyDescent="0.2"/>
    <row r="21" ht="13.9" hidden="1" customHeight="1" x14ac:dyDescent="0.2"/>
    <row r="22" ht="13.9" hidden="1" customHeight="1" x14ac:dyDescent="0.2"/>
    <row r="23" ht="13.9" hidden="1" customHeight="1" x14ac:dyDescent="0.2"/>
    <row r="24" ht="13.9" hidden="1" customHeight="1" x14ac:dyDescent="0.2"/>
    <row r="25" ht="13.9" hidden="1" customHeight="1" x14ac:dyDescent="0.2"/>
    <row r="26" ht="13.9" hidden="1" customHeight="1" x14ac:dyDescent="0.2"/>
    <row r="27" ht="13.9" hidden="1" customHeight="1" x14ac:dyDescent="0.2"/>
    <row r="28" ht="13.9" hidden="1" customHeight="1" x14ac:dyDescent="0.2"/>
    <row r="29" ht="13.9" hidden="1" customHeight="1" x14ac:dyDescent="0.2"/>
    <row r="30" ht="13.9" hidden="1" customHeight="1" x14ac:dyDescent="0.2"/>
    <row r="31" ht="13.9" hidden="1" customHeight="1" x14ac:dyDescent="0.2"/>
    <row r="32" ht="13.9" hidden="1" customHeight="1" x14ac:dyDescent="0.2"/>
    <row r="33" ht="13.9" hidden="1" customHeight="1" x14ac:dyDescent="0.2"/>
    <row r="34" ht="13.9" hidden="1" customHeight="1" x14ac:dyDescent="0.2"/>
    <row r="35" ht="13.9" hidden="1" customHeight="1" x14ac:dyDescent="0.2"/>
    <row r="36" ht="13.9" hidden="1" customHeight="1" x14ac:dyDescent="0.2"/>
    <row r="37" ht="13.9" hidden="1" customHeight="1" x14ac:dyDescent="0.2"/>
    <row r="38" ht="13.9" hidden="1" customHeight="1" x14ac:dyDescent="0.2"/>
    <row r="39" ht="13.9" hidden="1" customHeight="1" x14ac:dyDescent="0.2"/>
    <row r="40" ht="13.9" hidden="1" customHeight="1" x14ac:dyDescent="0.2"/>
    <row r="41" ht="13.9" hidden="1" customHeight="1" x14ac:dyDescent="0.2"/>
    <row r="42" ht="13.9" hidden="1" customHeight="1" x14ac:dyDescent="0.2"/>
    <row r="43" ht="13.9" hidden="1" customHeight="1" x14ac:dyDescent="0.2"/>
    <row r="44" ht="13.9" hidden="1" customHeight="1" x14ac:dyDescent="0.2"/>
    <row r="45" ht="13.9" hidden="1" customHeight="1" x14ac:dyDescent="0.2"/>
    <row r="46" ht="13.9" hidden="1" customHeight="1" x14ac:dyDescent="0.2"/>
    <row r="47" ht="13.9" hidden="1" customHeight="1" x14ac:dyDescent="0.2"/>
    <row r="48" ht="13.9" hidden="1" customHeight="1" x14ac:dyDescent="0.2"/>
    <row r="49" ht="13.9" hidden="1" customHeight="1" x14ac:dyDescent="0.2"/>
    <row r="50" ht="13.9" hidden="1" customHeight="1" x14ac:dyDescent="0.2"/>
    <row r="51" ht="13.9" hidden="1" customHeight="1" x14ac:dyDescent="0.2"/>
    <row r="52" ht="13.9" hidden="1" customHeight="1" x14ac:dyDescent="0.2"/>
    <row r="53" ht="13.9" hidden="1" customHeight="1" x14ac:dyDescent="0.2"/>
    <row r="54" ht="13.9" hidden="1" customHeight="1" x14ac:dyDescent="0.2"/>
    <row r="55" ht="13.9" hidden="1" customHeight="1" x14ac:dyDescent="0.2"/>
    <row r="56" ht="13.9" hidden="1" customHeight="1" x14ac:dyDescent="0.2"/>
    <row r="57" ht="13.9" hidden="1" customHeight="1" x14ac:dyDescent="0.2"/>
    <row r="58" ht="13.9" hidden="1" customHeight="1" x14ac:dyDescent="0.2"/>
    <row r="59" ht="13.9" hidden="1" customHeight="1" x14ac:dyDescent="0.2"/>
    <row r="60" ht="13.9" hidden="1" customHeight="1" x14ac:dyDescent="0.2"/>
    <row r="61" ht="13.9" hidden="1" customHeight="1" x14ac:dyDescent="0.2"/>
    <row r="62" ht="13.9" hidden="1" customHeight="1" x14ac:dyDescent="0.2"/>
    <row r="63" ht="13.9" hidden="1" customHeight="1" x14ac:dyDescent="0.2"/>
    <row r="64" ht="13.9" hidden="1" customHeight="1" x14ac:dyDescent="0.2"/>
    <row r="65" ht="13.9" hidden="1" customHeight="1" x14ac:dyDescent="0.2"/>
    <row r="66" ht="13.9" hidden="1"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13.9" hidden="1" customHeight="1" x14ac:dyDescent="0.2"/>
    <row r="75" ht="13.9" hidden="1" customHeight="1" x14ac:dyDescent="0.2"/>
    <row r="76" ht="13.9" hidden="1" customHeight="1" x14ac:dyDescent="0.2"/>
    <row r="77" ht="13.9" hidden="1" customHeight="1" x14ac:dyDescent="0.2"/>
    <row r="78" ht="13.9" hidden="1" customHeight="1" x14ac:dyDescent="0.2"/>
    <row r="79" ht="13.9" hidden="1" customHeight="1" x14ac:dyDescent="0.2"/>
    <row r="80" ht="13.9" hidden="1" customHeight="1" x14ac:dyDescent="0.2"/>
    <row r="81" ht="13.9" hidden="1" customHeight="1" x14ac:dyDescent="0.2"/>
    <row r="82" ht="13.9" hidden="1" customHeight="1" x14ac:dyDescent="0.2"/>
    <row r="83" ht="13.9" hidden="1" customHeight="1" x14ac:dyDescent="0.2"/>
    <row r="84" ht="13.9" hidden="1" customHeight="1" x14ac:dyDescent="0.2"/>
    <row r="85" ht="13.9" hidden="1" customHeight="1" x14ac:dyDescent="0.2"/>
    <row r="86" ht="13.9" hidden="1" customHeight="1" x14ac:dyDescent="0.2"/>
    <row r="87" ht="13.9" hidden="1" customHeight="1" x14ac:dyDescent="0.2"/>
    <row r="88" ht="13.9" hidden="1" customHeight="1" x14ac:dyDescent="0.2"/>
    <row r="89" ht="13.9" hidden="1" customHeight="1" x14ac:dyDescent="0.2"/>
    <row r="90" ht="13.9" hidden="1" customHeight="1" x14ac:dyDescent="0.2"/>
    <row r="91" ht="13.9" hidden="1" customHeight="1" x14ac:dyDescent="0.2"/>
    <row r="92" ht="13.9" hidden="1" customHeight="1" x14ac:dyDescent="0.2"/>
    <row r="93" ht="13.9" hidden="1" customHeight="1" x14ac:dyDescent="0.2"/>
    <row r="94" ht="13.9" hidden="1" customHeight="1" x14ac:dyDescent="0.2"/>
    <row r="95" ht="13.9" hidden="1" customHeight="1" x14ac:dyDescent="0.2"/>
    <row r="96" ht="13.9" hidden="1" customHeight="1" x14ac:dyDescent="0.2"/>
    <row r="97" ht="13.9" hidden="1" customHeight="1" x14ac:dyDescent="0.2"/>
    <row r="98" ht="13.9" hidden="1" customHeight="1" x14ac:dyDescent="0.2"/>
    <row r="99" ht="13.9" hidden="1" customHeight="1" x14ac:dyDescent="0.2"/>
    <row r="100" ht="13.9" hidden="1" customHeight="1" x14ac:dyDescent="0.2"/>
    <row r="101" ht="13.9" hidden="1" customHeight="1" x14ac:dyDescent="0.2"/>
    <row r="102" ht="13.9" hidden="1" customHeight="1" x14ac:dyDescent="0.2"/>
    <row r="103" ht="13.9" hidden="1" customHeight="1" x14ac:dyDescent="0.2"/>
    <row r="104" ht="13.9" hidden="1" customHeight="1" x14ac:dyDescent="0.2"/>
    <row r="105" ht="13.9" hidden="1" customHeight="1" x14ac:dyDescent="0.2"/>
    <row r="106" ht="13.9" hidden="1" customHeight="1" x14ac:dyDescent="0.2"/>
    <row r="107" ht="13.9" hidden="1" customHeight="1" x14ac:dyDescent="0.2"/>
    <row r="108" ht="13.9" hidden="1" customHeight="1" x14ac:dyDescent="0.2"/>
    <row r="109" ht="13.9" hidden="1" customHeight="1" x14ac:dyDescent="0.2"/>
    <row r="110" ht="13.9" hidden="1" customHeight="1" x14ac:dyDescent="0.2"/>
    <row r="111" ht="13.9" hidden="1" customHeight="1" x14ac:dyDescent="0.2"/>
    <row r="112" ht="13.9" hidden="1" customHeight="1" x14ac:dyDescent="0.2"/>
    <row r="113" ht="13.9" hidden="1" customHeight="1" x14ac:dyDescent="0.2"/>
    <row r="114" ht="13.9" hidden="1" customHeight="1" x14ac:dyDescent="0.2"/>
    <row r="115" ht="13.9" hidden="1" customHeight="1" x14ac:dyDescent="0.2"/>
    <row r="116" ht="13.9" hidden="1" customHeight="1" x14ac:dyDescent="0.2"/>
    <row r="117" ht="13.9" hidden="1" customHeight="1" x14ac:dyDescent="0.2"/>
    <row r="118" ht="13.9" hidden="1" customHeight="1" x14ac:dyDescent="0.2"/>
    <row r="119" ht="13.9" hidden="1" customHeight="1" x14ac:dyDescent="0.2"/>
    <row r="120" ht="13.9" hidden="1" customHeight="1" x14ac:dyDescent="0.2"/>
    <row r="121" ht="13.9" hidden="1" customHeight="1" x14ac:dyDescent="0.2"/>
    <row r="122" ht="13.9" hidden="1" customHeight="1" x14ac:dyDescent="0.2"/>
    <row r="123" ht="13.9" hidden="1" customHeight="1" x14ac:dyDescent="0.2"/>
    <row r="124" ht="13.9" hidden="1" customHeight="1" x14ac:dyDescent="0.2"/>
    <row r="125" ht="13.9" hidden="1" customHeight="1" x14ac:dyDescent="0.2"/>
    <row r="126" ht="13.9" hidden="1" customHeight="1" x14ac:dyDescent="0.2"/>
    <row r="127" ht="13.9" hidden="1" customHeight="1" x14ac:dyDescent="0.2"/>
    <row r="128" ht="13.9" hidden="1" customHeight="1" x14ac:dyDescent="0.2"/>
    <row r="129" ht="13.9" hidden="1" customHeight="1" x14ac:dyDescent="0.2"/>
    <row r="130" ht="13.9" hidden="1" customHeight="1" x14ac:dyDescent="0.2"/>
    <row r="131" ht="13.9" hidden="1" customHeight="1" x14ac:dyDescent="0.2"/>
    <row r="132" ht="13.9" hidden="1" customHeight="1" x14ac:dyDescent="0.2"/>
    <row r="133" ht="13.9" hidden="1" customHeight="1" x14ac:dyDescent="0.2"/>
    <row r="134" ht="13.9" hidden="1" customHeight="1" x14ac:dyDescent="0.2"/>
    <row r="135" ht="13.9" hidden="1" customHeight="1" x14ac:dyDescent="0.2"/>
    <row r="136" ht="13.9" hidden="1" customHeight="1" x14ac:dyDescent="0.2"/>
    <row r="137" ht="13.9" hidden="1" customHeight="1" x14ac:dyDescent="0.2"/>
    <row r="138" ht="13.9" hidden="1" customHeight="1" x14ac:dyDescent="0.2"/>
    <row r="139" ht="13.9" hidden="1" customHeight="1" x14ac:dyDescent="0.2"/>
    <row r="140" ht="13.9" hidden="1" customHeight="1" x14ac:dyDescent="0.2"/>
    <row r="141" ht="13.9" hidden="1" customHeight="1" x14ac:dyDescent="0.2"/>
    <row r="142" ht="13.9" hidden="1" customHeight="1" x14ac:dyDescent="0.2"/>
    <row r="143" ht="13.9" hidden="1" customHeight="1" x14ac:dyDescent="0.2"/>
    <row r="144" ht="13.9" hidden="1" customHeight="1" x14ac:dyDescent="0.2"/>
    <row r="145" ht="13.9" hidden="1" customHeight="1" x14ac:dyDescent="0.2"/>
    <row r="146" ht="13.9" hidden="1" customHeight="1" x14ac:dyDescent="0.2"/>
    <row r="147" ht="13.9" hidden="1" customHeight="1" x14ac:dyDescent="0.2"/>
    <row r="148" ht="13.9" hidden="1" customHeight="1" x14ac:dyDescent="0.2"/>
    <row r="149" ht="13.9" hidden="1" customHeight="1" x14ac:dyDescent="0.2"/>
    <row r="150" ht="13.9" hidden="1" customHeight="1" x14ac:dyDescent="0.2"/>
    <row r="151" ht="13.9" hidden="1" customHeight="1" x14ac:dyDescent="0.2"/>
    <row r="152" ht="13.9" hidden="1" customHeight="1" x14ac:dyDescent="0.2"/>
    <row r="153" ht="13.9" hidden="1" customHeight="1" x14ac:dyDescent="0.2"/>
    <row r="154" ht="13.9" hidden="1" customHeight="1" x14ac:dyDescent="0.2"/>
    <row r="155" ht="13.9" hidden="1" customHeight="1" x14ac:dyDescent="0.2"/>
    <row r="156" ht="13.9" hidden="1" customHeight="1" x14ac:dyDescent="0.2"/>
    <row r="157" ht="13.9" hidden="1" customHeight="1" x14ac:dyDescent="0.2"/>
    <row r="158" ht="13.9" hidden="1" customHeight="1" x14ac:dyDescent="0.2"/>
    <row r="159" ht="13.9" hidden="1" customHeight="1" x14ac:dyDescent="0.2"/>
    <row r="160" ht="13.9" hidden="1" customHeight="1" x14ac:dyDescent="0.2"/>
    <row r="161" ht="13.9" hidden="1" customHeight="1" x14ac:dyDescent="0.2"/>
    <row r="162" ht="13.9" hidden="1" customHeight="1" x14ac:dyDescent="0.2"/>
    <row r="163" ht="13.9" hidden="1" customHeight="1" x14ac:dyDescent="0.2"/>
    <row r="164" ht="13.9" hidden="1" customHeight="1" x14ac:dyDescent="0.2"/>
    <row r="165" ht="13.9" hidden="1" customHeight="1" x14ac:dyDescent="0.2"/>
    <row r="166" ht="13.9" hidden="1" customHeight="1" x14ac:dyDescent="0.2"/>
    <row r="167" ht="13.9" hidden="1" customHeight="1" x14ac:dyDescent="0.2"/>
    <row r="168" ht="13.9" hidden="1" customHeight="1" x14ac:dyDescent="0.2"/>
    <row r="169" ht="13.9" hidden="1" customHeight="1" x14ac:dyDescent="0.2"/>
    <row r="170" ht="13.9" hidden="1" customHeight="1" x14ac:dyDescent="0.2"/>
    <row r="171" ht="13.9" hidden="1" customHeight="1" x14ac:dyDescent="0.2"/>
    <row r="172" ht="13.9" hidden="1" customHeight="1" x14ac:dyDescent="0.2"/>
    <row r="173" ht="13.9" hidden="1" customHeight="1" x14ac:dyDescent="0.2"/>
    <row r="174" ht="13.9" hidden="1" customHeight="1" x14ac:dyDescent="0.2"/>
    <row r="175" ht="13.9" hidden="1" customHeight="1" x14ac:dyDescent="0.2"/>
    <row r="176" ht="13.9" hidden="1" customHeight="1" x14ac:dyDescent="0.2"/>
    <row r="177" ht="13.9" hidden="1" customHeight="1" x14ac:dyDescent="0.2"/>
    <row r="178" ht="13.9" hidden="1" customHeight="1" x14ac:dyDescent="0.2"/>
    <row r="179" ht="13.9" hidden="1" customHeight="1" x14ac:dyDescent="0.2"/>
    <row r="180" ht="13.9" hidden="1" customHeight="1" x14ac:dyDescent="0.2"/>
    <row r="181" ht="13.9" hidden="1" customHeight="1" x14ac:dyDescent="0.2"/>
    <row r="182" ht="13.9" hidden="1" customHeight="1" x14ac:dyDescent="0.2"/>
    <row r="183" ht="13.9" hidden="1" customHeight="1" x14ac:dyDescent="0.2"/>
    <row r="184" ht="13.9" hidden="1" customHeight="1" x14ac:dyDescent="0.2"/>
    <row r="185" ht="13.9" hidden="1" customHeight="1" x14ac:dyDescent="0.2"/>
    <row r="186" ht="13.9" hidden="1" customHeight="1" x14ac:dyDescent="0.2"/>
    <row r="187" ht="13.9" hidden="1" customHeight="1" x14ac:dyDescent="0.2"/>
    <row r="188" ht="13.9" hidden="1" customHeight="1" x14ac:dyDescent="0.2"/>
    <row r="189" ht="13.9" hidden="1" customHeight="1" x14ac:dyDescent="0.2"/>
    <row r="190" ht="13.9" hidden="1" customHeight="1" x14ac:dyDescent="0.2"/>
    <row r="191" ht="13.9" hidden="1" customHeight="1" x14ac:dyDescent="0.2"/>
    <row r="192" ht="13.9" hidden="1" customHeight="1" x14ac:dyDescent="0.2"/>
    <row r="193" ht="13.9" hidden="1" customHeight="1" x14ac:dyDescent="0.2"/>
    <row r="194" ht="13.9" hidden="1" customHeight="1" x14ac:dyDescent="0.2"/>
    <row r="195" ht="13.9" hidden="1" customHeight="1" x14ac:dyDescent="0.2"/>
    <row r="196" ht="13.9" hidden="1" customHeight="1" x14ac:dyDescent="0.2"/>
    <row r="197" ht="13.9" hidden="1" customHeight="1" x14ac:dyDescent="0.2"/>
    <row r="198" ht="13.9" hidden="1" customHeight="1" x14ac:dyDescent="0.2"/>
    <row r="199" ht="13.9" hidden="1" customHeight="1" x14ac:dyDescent="0.2"/>
    <row r="200" ht="13.9" hidden="1" customHeight="1" x14ac:dyDescent="0.2"/>
    <row r="201" ht="13.9" hidden="1" customHeight="1" x14ac:dyDescent="0.2"/>
    <row r="202" ht="13.9" hidden="1" customHeight="1" x14ac:dyDescent="0.2"/>
    <row r="203" ht="13.9" hidden="1" customHeight="1" x14ac:dyDescent="0.2"/>
    <row r="204" ht="13.9" hidden="1" customHeight="1" x14ac:dyDescent="0.2"/>
    <row r="205" ht="13.9" hidden="1" customHeight="1" x14ac:dyDescent="0.2"/>
    <row r="206" ht="13.9" hidden="1" customHeight="1" x14ac:dyDescent="0.2"/>
    <row r="207" ht="13.9" hidden="1" customHeight="1" x14ac:dyDescent="0.2"/>
    <row r="208" ht="13.9" hidden="1" customHeight="1" x14ac:dyDescent="0.2"/>
    <row r="209" ht="13.9" hidden="1" customHeight="1" x14ac:dyDescent="0.2"/>
    <row r="210" ht="13.9" hidden="1" customHeight="1" x14ac:dyDescent="0.2"/>
    <row r="211" ht="13.9" hidden="1" customHeight="1" x14ac:dyDescent="0.2"/>
    <row r="212" ht="13.9" hidden="1" customHeight="1" x14ac:dyDescent="0.2"/>
    <row r="213" ht="13.9" hidden="1" customHeight="1" x14ac:dyDescent="0.2"/>
    <row r="214" ht="13.9" hidden="1" customHeight="1" x14ac:dyDescent="0.2"/>
    <row r="215" ht="13.9" hidden="1" customHeight="1" x14ac:dyDescent="0.2"/>
    <row r="216" ht="13.9" hidden="1" customHeight="1" x14ac:dyDescent="0.2"/>
    <row r="217" ht="13.9" hidden="1" customHeight="1" x14ac:dyDescent="0.2"/>
    <row r="218" ht="13.9" hidden="1" customHeight="1" x14ac:dyDescent="0.2"/>
    <row r="219" ht="13.9" hidden="1" customHeight="1" x14ac:dyDescent="0.2"/>
    <row r="220" ht="13.9" hidden="1" customHeight="1" x14ac:dyDescent="0.2"/>
    <row r="221" ht="13.9" hidden="1" customHeight="1" x14ac:dyDescent="0.2"/>
    <row r="222" ht="13.9" hidden="1" customHeight="1" x14ac:dyDescent="0.2"/>
    <row r="223" ht="13.9" hidden="1" customHeight="1" x14ac:dyDescent="0.2"/>
    <row r="224" ht="13.9" hidden="1" customHeight="1" x14ac:dyDescent="0.2"/>
    <row r="225" ht="13.9" hidden="1" customHeight="1" x14ac:dyDescent="0.2"/>
    <row r="226" ht="13.9" hidden="1" customHeight="1" x14ac:dyDescent="0.2"/>
    <row r="227" ht="13.9" hidden="1" customHeight="1" x14ac:dyDescent="0.2"/>
    <row r="228" ht="13.9" hidden="1" customHeight="1" x14ac:dyDescent="0.2"/>
    <row r="229" ht="13.9" hidden="1" customHeight="1" x14ac:dyDescent="0.2"/>
    <row r="230" ht="13.9" hidden="1" customHeight="1" x14ac:dyDescent="0.2"/>
    <row r="231" ht="13.9" hidden="1" customHeight="1" x14ac:dyDescent="0.2"/>
    <row r="232" ht="13.9" hidden="1" customHeight="1" x14ac:dyDescent="0.2"/>
    <row r="233" ht="13.9" hidden="1" customHeight="1" x14ac:dyDescent="0.2"/>
    <row r="234" ht="13.9" hidden="1" customHeight="1" x14ac:dyDescent="0.2"/>
    <row r="235" ht="13.9" hidden="1" customHeight="1" x14ac:dyDescent="0.2"/>
    <row r="236" ht="13.9" hidden="1" customHeight="1" x14ac:dyDescent="0.2"/>
    <row r="237" ht="13.9" hidden="1" customHeight="1" x14ac:dyDescent="0.2"/>
    <row r="238" ht="13.9" hidden="1" customHeight="1" x14ac:dyDescent="0.2"/>
    <row r="239" ht="13.9" hidden="1" customHeight="1" x14ac:dyDescent="0.2"/>
    <row r="240" ht="13.9" hidden="1" customHeight="1" x14ac:dyDescent="0.2"/>
    <row r="241" ht="13.9" hidden="1" customHeight="1" x14ac:dyDescent="0.2"/>
    <row r="242" ht="13.9" hidden="1" customHeight="1" x14ac:dyDescent="0.2"/>
    <row r="243" ht="13.9" hidden="1" customHeight="1" x14ac:dyDescent="0.2"/>
    <row r="244" ht="13.9" hidden="1" customHeight="1" x14ac:dyDescent="0.2"/>
    <row r="245" ht="13.9" hidden="1" customHeight="1" x14ac:dyDescent="0.2"/>
    <row r="246" ht="13.9" hidden="1" customHeight="1" x14ac:dyDescent="0.2"/>
    <row r="247" ht="13.9" hidden="1" customHeight="1" x14ac:dyDescent="0.2"/>
    <row r="248" ht="13.9" hidden="1" customHeight="1" x14ac:dyDescent="0.2"/>
    <row r="249" ht="13.9" hidden="1" customHeight="1" x14ac:dyDescent="0.2"/>
    <row r="250" ht="13.9" hidden="1" customHeight="1" x14ac:dyDescent="0.2"/>
    <row r="251" ht="13.9" hidden="1" customHeight="1" x14ac:dyDescent="0.2"/>
    <row r="252" ht="13.9" hidden="1" customHeight="1" x14ac:dyDescent="0.2"/>
    <row r="253" ht="13.9" hidden="1" customHeight="1" x14ac:dyDescent="0.2"/>
    <row r="254" ht="13.9" hidden="1" customHeight="1" x14ac:dyDescent="0.2"/>
    <row r="255" ht="13.9" hidden="1" customHeight="1" x14ac:dyDescent="0.2"/>
    <row r="256" ht="13.9" hidden="1" customHeight="1" x14ac:dyDescent="0.2"/>
    <row r="257" ht="13.9" hidden="1" customHeight="1" x14ac:dyDescent="0.2"/>
    <row r="258" ht="13.9" hidden="1" customHeight="1" x14ac:dyDescent="0.2"/>
    <row r="259" ht="13.9" hidden="1" customHeight="1" x14ac:dyDescent="0.2"/>
    <row r="260" ht="13.9" hidden="1" customHeight="1" x14ac:dyDescent="0.2"/>
    <row r="261" ht="13.9" hidden="1" customHeight="1" x14ac:dyDescent="0.2"/>
    <row r="262" ht="13.9" hidden="1" customHeight="1" x14ac:dyDescent="0.2"/>
    <row r="263" ht="13.9" hidden="1" customHeight="1" x14ac:dyDescent="0.2"/>
    <row r="264" ht="13.9" hidden="1" customHeight="1" x14ac:dyDescent="0.2"/>
    <row r="265" ht="13.9" hidden="1" customHeight="1" x14ac:dyDescent="0.2"/>
    <row r="266" ht="13.9" hidden="1" customHeight="1" x14ac:dyDescent="0.2"/>
    <row r="267" ht="13.9" hidden="1" customHeight="1" x14ac:dyDescent="0.2"/>
    <row r="268" ht="13.9" hidden="1" customHeight="1" x14ac:dyDescent="0.2"/>
    <row r="269" ht="13.9" hidden="1" customHeight="1" x14ac:dyDescent="0.2"/>
    <row r="270" ht="13.9" hidden="1" customHeight="1" x14ac:dyDescent="0.2"/>
    <row r="271" ht="13.9" hidden="1" customHeight="1" x14ac:dyDescent="0.2"/>
    <row r="272" ht="13.9" hidden="1" customHeight="1" x14ac:dyDescent="0.2"/>
    <row r="273" ht="13.9" hidden="1" customHeight="1" x14ac:dyDescent="0.2"/>
    <row r="274" ht="13.9" hidden="1" customHeight="1" x14ac:dyDescent="0.2"/>
    <row r="275" ht="13.9" hidden="1" customHeight="1" x14ac:dyDescent="0.2"/>
    <row r="276" ht="13.9" hidden="1" customHeight="1" x14ac:dyDescent="0.2"/>
    <row r="277" ht="13.9" hidden="1" customHeight="1" x14ac:dyDescent="0.2"/>
    <row r="278" ht="13.9" hidden="1" customHeight="1" x14ac:dyDescent="0.2"/>
    <row r="279" ht="13.9" hidden="1" customHeight="1" x14ac:dyDescent="0.2"/>
    <row r="280" ht="13.9" hidden="1" customHeight="1" x14ac:dyDescent="0.2"/>
    <row r="281" ht="13.9" hidden="1" customHeight="1" x14ac:dyDescent="0.2"/>
    <row r="282" ht="13.9" hidden="1" customHeight="1" x14ac:dyDescent="0.2"/>
    <row r="283" ht="13.9" hidden="1" customHeight="1" x14ac:dyDescent="0.2"/>
    <row r="284" ht="13.9" hidden="1" customHeight="1" x14ac:dyDescent="0.2"/>
    <row r="285" ht="13.9" hidden="1" customHeight="1" x14ac:dyDescent="0.2"/>
    <row r="286" ht="13.9" hidden="1" customHeight="1" x14ac:dyDescent="0.2"/>
    <row r="287" ht="13.9" hidden="1" customHeight="1" x14ac:dyDescent="0.2"/>
    <row r="288" ht="13.9" hidden="1" customHeight="1" x14ac:dyDescent="0.2"/>
    <row r="289" ht="13.9" hidden="1" customHeight="1" x14ac:dyDescent="0.2"/>
    <row r="290" ht="13.9" hidden="1" customHeight="1" x14ac:dyDescent="0.2"/>
    <row r="291" ht="13.9" hidden="1" customHeight="1" x14ac:dyDescent="0.2"/>
    <row r="292" ht="13.9" hidden="1" customHeight="1" x14ac:dyDescent="0.2"/>
    <row r="293" ht="13.9" hidden="1" customHeight="1" x14ac:dyDescent="0.2"/>
    <row r="294" ht="13.9" hidden="1" customHeight="1" x14ac:dyDescent="0.2"/>
    <row r="295" ht="13.9" hidden="1" customHeight="1" x14ac:dyDescent="0.2"/>
    <row r="296" ht="13.9" hidden="1" customHeight="1" x14ac:dyDescent="0.2"/>
    <row r="297" ht="13.9" hidden="1" customHeight="1" x14ac:dyDescent="0.2"/>
    <row r="298" ht="13.9" hidden="1" customHeight="1" x14ac:dyDescent="0.2"/>
    <row r="299" ht="13.9" hidden="1" customHeight="1" x14ac:dyDescent="0.2"/>
    <row r="300" ht="13.9" hidden="1" customHeight="1" x14ac:dyDescent="0.2"/>
    <row r="301" ht="13.9" hidden="1" customHeight="1" x14ac:dyDescent="0.2"/>
    <row r="302" ht="13.9" hidden="1" customHeight="1" x14ac:dyDescent="0.2"/>
    <row r="303" ht="13.9" hidden="1" customHeight="1" x14ac:dyDescent="0.2"/>
    <row r="304" ht="13.9" hidden="1" customHeight="1" x14ac:dyDescent="0.2"/>
    <row r="305" ht="13.9" hidden="1" customHeight="1" x14ac:dyDescent="0.2"/>
    <row r="306" ht="13.9" hidden="1" customHeight="1" x14ac:dyDescent="0.2"/>
    <row r="307" ht="13.9" hidden="1" customHeight="1" x14ac:dyDescent="0.2"/>
    <row r="308" ht="13.9" hidden="1" customHeight="1" x14ac:dyDescent="0.2"/>
    <row r="309" ht="13.9" hidden="1" customHeight="1" x14ac:dyDescent="0.2"/>
    <row r="310" ht="13.9" hidden="1" customHeight="1" x14ac:dyDescent="0.2"/>
    <row r="311" ht="13.9" hidden="1" customHeight="1" x14ac:dyDescent="0.2"/>
    <row r="312" ht="13.9" hidden="1" customHeight="1" x14ac:dyDescent="0.2"/>
    <row r="313" ht="13.9" hidden="1" customHeight="1" x14ac:dyDescent="0.2"/>
    <row r="314" ht="13.9" hidden="1" customHeight="1" x14ac:dyDescent="0.2"/>
    <row r="315" ht="13.9" hidden="1" customHeight="1" x14ac:dyDescent="0.2"/>
    <row r="316" ht="13.9" hidden="1" customHeight="1" x14ac:dyDescent="0.2"/>
    <row r="317" ht="13.9" hidden="1" customHeight="1" x14ac:dyDescent="0.2"/>
    <row r="318" ht="13.9" hidden="1" customHeight="1" x14ac:dyDescent="0.2"/>
    <row r="319" ht="13.9" hidden="1" customHeight="1" x14ac:dyDescent="0.2"/>
    <row r="320" ht="13.9" hidden="1" customHeight="1" x14ac:dyDescent="0.2"/>
    <row r="321" ht="13.9" hidden="1" customHeight="1" x14ac:dyDescent="0.2"/>
    <row r="322" ht="13.9" hidden="1" customHeight="1" x14ac:dyDescent="0.2"/>
    <row r="323" ht="13.9" hidden="1" customHeight="1" x14ac:dyDescent="0.2"/>
    <row r="324" ht="13.9" hidden="1" customHeight="1" x14ac:dyDescent="0.2"/>
    <row r="325" ht="13.9" hidden="1" customHeight="1" x14ac:dyDescent="0.2"/>
    <row r="326" ht="13.9" hidden="1" customHeight="1" x14ac:dyDescent="0.2"/>
    <row r="327" ht="13.9" hidden="1" customHeight="1" x14ac:dyDescent="0.2"/>
    <row r="328" ht="13.9" hidden="1" customHeight="1" x14ac:dyDescent="0.2"/>
    <row r="329" ht="13.9" hidden="1" customHeight="1" x14ac:dyDescent="0.2"/>
    <row r="330" ht="13.9" hidden="1" customHeight="1" x14ac:dyDescent="0.2"/>
    <row r="331" ht="13.9" hidden="1" customHeight="1" x14ac:dyDescent="0.2"/>
    <row r="332" ht="13.9" hidden="1" customHeight="1" x14ac:dyDescent="0.2"/>
    <row r="333" ht="13.9" hidden="1" customHeight="1" x14ac:dyDescent="0.2"/>
    <row r="334" ht="13.9" hidden="1" customHeight="1" x14ac:dyDescent="0.2"/>
    <row r="335" ht="13.9" hidden="1" customHeight="1" x14ac:dyDescent="0.2"/>
    <row r="336" ht="13.9" hidden="1" customHeight="1" x14ac:dyDescent="0.2"/>
    <row r="337" ht="13.9" hidden="1" customHeight="1" x14ac:dyDescent="0.2"/>
    <row r="338" ht="13.9" hidden="1" customHeight="1" x14ac:dyDescent="0.2"/>
    <row r="339" ht="13.9" hidden="1" customHeight="1" x14ac:dyDescent="0.2"/>
    <row r="340" ht="13.9" hidden="1" customHeight="1" x14ac:dyDescent="0.2"/>
    <row r="341" ht="13.9" hidden="1" customHeight="1" x14ac:dyDescent="0.2"/>
    <row r="342" ht="13.9" hidden="1" customHeight="1" x14ac:dyDescent="0.2"/>
    <row r="343" ht="13.9" hidden="1" customHeight="1" x14ac:dyDescent="0.2"/>
    <row r="344" ht="13.9" hidden="1" customHeight="1" x14ac:dyDescent="0.2"/>
    <row r="345" ht="13.9" hidden="1" customHeight="1" x14ac:dyDescent="0.2"/>
    <row r="346" ht="13.9" hidden="1" customHeight="1" x14ac:dyDescent="0.2"/>
    <row r="347" ht="13.9" hidden="1" customHeight="1" x14ac:dyDescent="0.2"/>
    <row r="348" ht="13.9" hidden="1" customHeight="1" x14ac:dyDescent="0.2"/>
    <row r="349" ht="13.9" hidden="1" customHeight="1" x14ac:dyDescent="0.2"/>
    <row r="350" ht="13.9" hidden="1" customHeight="1" x14ac:dyDescent="0.2"/>
    <row r="351" ht="13.9" hidden="1" customHeight="1" x14ac:dyDescent="0.2"/>
    <row r="352" ht="13.9" hidden="1" customHeight="1" x14ac:dyDescent="0.2"/>
    <row r="353" ht="13.9" hidden="1" customHeight="1" x14ac:dyDescent="0.2"/>
    <row r="354" ht="13.9" hidden="1" customHeight="1" x14ac:dyDescent="0.2"/>
    <row r="355" ht="13.9" hidden="1" customHeight="1" x14ac:dyDescent="0.2"/>
    <row r="356" ht="13.9" hidden="1" customHeight="1" x14ac:dyDescent="0.2"/>
    <row r="357" ht="13.9" hidden="1" customHeight="1" x14ac:dyDescent="0.2"/>
    <row r="358" ht="13.9" hidden="1" customHeight="1" x14ac:dyDescent="0.2"/>
    <row r="359" ht="13.9" hidden="1" customHeight="1" x14ac:dyDescent="0.2"/>
    <row r="360" ht="13.9" hidden="1" customHeight="1" x14ac:dyDescent="0.2"/>
    <row r="361" ht="13.9" hidden="1" customHeight="1" x14ac:dyDescent="0.2"/>
    <row r="362" ht="13.9" hidden="1" customHeight="1" x14ac:dyDescent="0.2"/>
    <row r="363" ht="13.9" hidden="1" customHeight="1" x14ac:dyDescent="0.2"/>
    <row r="364" ht="13.9" hidden="1" customHeight="1" x14ac:dyDescent="0.2"/>
    <row r="365" ht="13.9" hidden="1" customHeight="1" x14ac:dyDescent="0.2"/>
    <row r="366" ht="13.9" hidden="1" customHeight="1" x14ac:dyDescent="0.2"/>
    <row r="367" ht="13.9" hidden="1" customHeight="1" x14ac:dyDescent="0.2"/>
    <row r="368" ht="13.9" hidden="1" customHeight="1" x14ac:dyDescent="0.2"/>
    <row r="369" ht="13.9" hidden="1" customHeight="1" x14ac:dyDescent="0.2"/>
    <row r="370" ht="13.9" hidden="1" customHeight="1" x14ac:dyDescent="0.2"/>
    <row r="371" ht="13.9" hidden="1" customHeight="1" x14ac:dyDescent="0.2"/>
    <row r="372" ht="13.9" hidden="1" customHeight="1" x14ac:dyDescent="0.2"/>
    <row r="373" ht="13.9" hidden="1" customHeight="1" x14ac:dyDescent="0.2"/>
    <row r="374" ht="13.9" hidden="1" customHeight="1" x14ac:dyDescent="0.2"/>
    <row r="375" ht="13.9" hidden="1" customHeight="1" x14ac:dyDescent="0.2"/>
    <row r="376" ht="13.9" hidden="1" customHeight="1" x14ac:dyDescent="0.2"/>
    <row r="377" ht="13.9" hidden="1" customHeight="1" x14ac:dyDescent="0.2"/>
    <row r="378" ht="13.9" hidden="1" customHeight="1" x14ac:dyDescent="0.2"/>
    <row r="379" ht="13.9" hidden="1" customHeight="1" x14ac:dyDescent="0.2"/>
    <row r="380" ht="13.9" hidden="1" customHeight="1" x14ac:dyDescent="0.2"/>
    <row r="381" ht="13.9" hidden="1" customHeight="1" x14ac:dyDescent="0.2"/>
    <row r="382" ht="13.9" hidden="1" customHeight="1" x14ac:dyDescent="0.2"/>
    <row r="383" ht="13.9" hidden="1" customHeight="1" x14ac:dyDescent="0.2"/>
    <row r="384" ht="13.9" hidden="1" customHeight="1" x14ac:dyDescent="0.2"/>
    <row r="385" ht="13.9" hidden="1" customHeight="1" x14ac:dyDescent="0.2"/>
    <row r="386" ht="13.9" hidden="1" customHeight="1" x14ac:dyDescent="0.2"/>
    <row r="387" ht="13.9" hidden="1" customHeight="1" x14ac:dyDescent="0.2"/>
    <row r="388" ht="13.9" hidden="1" customHeight="1" x14ac:dyDescent="0.2"/>
    <row r="389" ht="13.9" hidden="1" customHeight="1" x14ac:dyDescent="0.2"/>
    <row r="390" ht="13.9" hidden="1" customHeight="1" x14ac:dyDescent="0.2"/>
    <row r="391" ht="13.9" hidden="1" customHeight="1" x14ac:dyDescent="0.2"/>
    <row r="392" ht="13.9" hidden="1" customHeight="1" x14ac:dyDescent="0.2"/>
    <row r="393" ht="13.9" hidden="1" customHeight="1" x14ac:dyDescent="0.2"/>
    <row r="394" ht="13.9" hidden="1" customHeight="1" x14ac:dyDescent="0.2"/>
    <row r="395" ht="13.9" hidden="1" customHeight="1" x14ac:dyDescent="0.2"/>
    <row r="396" ht="13.9" hidden="1" customHeight="1" x14ac:dyDescent="0.2"/>
    <row r="397" ht="13.9" hidden="1" customHeight="1" x14ac:dyDescent="0.2"/>
    <row r="398" ht="13.9" hidden="1" customHeight="1" x14ac:dyDescent="0.2"/>
    <row r="399" ht="13.9" hidden="1" customHeight="1" x14ac:dyDescent="0.2"/>
    <row r="400" ht="13.9" hidden="1" customHeight="1" x14ac:dyDescent="0.2"/>
    <row r="401" spans="17:59" ht="13.9" customHeight="1" x14ac:dyDescent="0.2">
      <c r="Q401" s="23"/>
      <c r="R401" s="361" t="s">
        <v>314</v>
      </c>
      <c r="S401" s="21"/>
      <c r="T401" s="227"/>
      <c r="U401" s="228"/>
      <c r="V401" s="228"/>
      <c r="W401" s="228"/>
      <c r="X401" s="228"/>
      <c r="Y401" s="228"/>
      <c r="Z401" s="228"/>
      <c r="AA401" s="228"/>
      <c r="AB401" s="228"/>
      <c r="AC401" s="228"/>
      <c r="AD401" s="228"/>
      <c r="AN401" s="22"/>
      <c r="AO401" s="22"/>
      <c r="BF401" s="5"/>
      <c r="BG401" s="5"/>
    </row>
    <row r="402" spans="17:59" ht="13.9" customHeight="1" x14ac:dyDescent="0.2">
      <c r="Q402" s="23"/>
      <c r="R402" s="238"/>
      <c r="S402" s="361" t="s">
        <v>53</v>
      </c>
      <c r="T402" s="227"/>
      <c r="U402" s="228"/>
      <c r="V402" s="228"/>
      <c r="W402" s="228"/>
      <c r="X402" s="228"/>
      <c r="Y402" s="228" t="s">
        <v>160</v>
      </c>
      <c r="Z402" s="228" t="s">
        <v>596</v>
      </c>
      <c r="AA402" s="228"/>
      <c r="AB402" s="228"/>
      <c r="AC402" s="228"/>
      <c r="AD402" s="228"/>
      <c r="AN402" s="22"/>
      <c r="AO402" s="22"/>
      <c r="BF402" s="5"/>
      <c r="BG402" s="5"/>
    </row>
    <row r="403" spans="17:59" ht="13.9" customHeight="1" x14ac:dyDescent="0.2">
      <c r="Q403" s="23"/>
      <c r="R403" s="238"/>
      <c r="S403" s="279" t="str">
        <f>B9</f>
        <v>Työasiamatkat ennen puhdistamista (tutkimukset, tarkkailut ym.) lukumäärinä vuodessa</v>
      </c>
      <c r="T403" s="280"/>
      <c r="U403" s="281"/>
      <c r="V403" s="281"/>
      <c r="W403" s="281" t="s">
        <v>664</v>
      </c>
      <c r="X403" s="281" t="s">
        <v>690</v>
      </c>
      <c r="Y403" s="282">
        <f>SUM(Y404:Y405)</f>
        <v>0</v>
      </c>
      <c r="Z403" s="283" t="str">
        <f>IF(ISERROR(Y403/$Y$407),"--",Y403/$Y$407)</f>
        <v>--</v>
      </c>
      <c r="AA403" s="228"/>
      <c r="AB403" s="228"/>
      <c r="AC403" s="228"/>
      <c r="AD403" s="228"/>
      <c r="AN403" s="22"/>
      <c r="AO403" s="22"/>
      <c r="BF403" s="5"/>
      <c r="BG403" s="5"/>
    </row>
    <row r="404" spans="17:59" ht="13.9" customHeight="1" x14ac:dyDescent="0.2">
      <c r="Q404" s="23"/>
      <c r="R404" s="238"/>
      <c r="S404" s="207" t="s">
        <v>60</v>
      </c>
      <c r="T404" s="228"/>
      <c r="U404" s="228"/>
      <c r="V404" s="228"/>
      <c r="W404" s="228" t="s">
        <v>601</v>
      </c>
      <c r="X404" s="228" t="s">
        <v>316</v>
      </c>
      <c r="Y404" s="229">
        <f>SUM(R9)</f>
        <v>0</v>
      </c>
      <c r="Z404" s="277" t="str">
        <f t="shared" ref="Z404:Z405" si="0">IF(ISERROR(Y404/$Y$407),"--",Y404/$Y$407)</f>
        <v>--</v>
      </c>
      <c r="AA404" s="228"/>
      <c r="AB404" s="228"/>
      <c r="AC404" s="228"/>
      <c r="AD404" s="228"/>
      <c r="AN404" s="22"/>
      <c r="AO404" s="22"/>
      <c r="BF404" s="5"/>
      <c r="BG404" s="5"/>
    </row>
    <row r="405" spans="17:59" ht="13.9" customHeight="1" x14ac:dyDescent="0.2">
      <c r="Q405" s="23"/>
      <c r="R405" s="238"/>
      <c r="S405" s="207" t="s">
        <v>581</v>
      </c>
      <c r="T405" s="228"/>
      <c r="U405" s="228"/>
      <c r="V405" s="228"/>
      <c r="W405" s="228" t="s">
        <v>601</v>
      </c>
      <c r="X405" s="228" t="s">
        <v>603</v>
      </c>
      <c r="Y405" s="229">
        <f>SUM(R11)</f>
        <v>0</v>
      </c>
      <c r="Z405" s="277" t="str">
        <f t="shared" si="0"/>
        <v>--</v>
      </c>
      <c r="AA405" s="228"/>
      <c r="AB405" s="228"/>
      <c r="AC405" s="228"/>
      <c r="AD405" s="228"/>
      <c r="AN405" s="22"/>
      <c r="AO405" s="22"/>
      <c r="BF405" s="5"/>
      <c r="BG405" s="5"/>
    </row>
    <row r="406" spans="17:59" ht="13.9" customHeight="1" x14ac:dyDescent="0.2">
      <c r="Q406" s="23"/>
      <c r="R406" s="238"/>
      <c r="S406" s="22"/>
      <c r="T406" s="228"/>
      <c r="U406" s="228"/>
      <c r="V406" s="228"/>
      <c r="W406" s="228"/>
      <c r="X406" s="228"/>
      <c r="Y406" s="229"/>
      <c r="Z406" s="277"/>
      <c r="AA406" s="228"/>
      <c r="AB406" s="228"/>
      <c r="AC406" s="228"/>
      <c r="AD406" s="228"/>
      <c r="AN406" s="22"/>
      <c r="AO406" s="22"/>
      <c r="BF406" s="5"/>
      <c r="BG406" s="5"/>
    </row>
    <row r="407" spans="17:59" ht="13.9" customHeight="1" x14ac:dyDescent="0.2">
      <c r="Q407" s="23"/>
      <c r="R407" s="238"/>
      <c r="S407" s="361" t="s">
        <v>583</v>
      </c>
      <c r="T407" s="228"/>
      <c r="U407" s="228"/>
      <c r="V407" s="228"/>
      <c r="W407" s="228"/>
      <c r="X407" s="228"/>
      <c r="Y407" s="392">
        <f>Y403</f>
        <v>0</v>
      </c>
      <c r="Z407" s="393">
        <f>SUM(Z404:Z405)</f>
        <v>0</v>
      </c>
      <c r="AA407" s="228"/>
      <c r="AB407" s="228"/>
      <c r="AC407" s="228"/>
      <c r="AD407" s="228"/>
      <c r="AN407" s="22"/>
      <c r="AO407" s="22"/>
      <c r="BF407" s="5"/>
      <c r="BG407" s="5"/>
    </row>
    <row r="408" spans="17:59" ht="13.9" customHeight="1" x14ac:dyDescent="0.2">
      <c r="Q408" s="23"/>
      <c r="R408" s="238"/>
      <c r="S408" s="99"/>
      <c r="T408" s="228"/>
      <c r="U408" s="228"/>
      <c r="V408" s="228"/>
      <c r="W408" s="228"/>
      <c r="X408" s="228"/>
      <c r="Y408" s="229"/>
      <c r="Z408" s="228"/>
      <c r="AA408" s="228"/>
      <c r="AB408" s="228"/>
      <c r="AC408" s="228"/>
      <c r="AD408" s="228"/>
      <c r="AN408" s="22"/>
      <c r="AO408" s="22"/>
      <c r="BF408" s="5"/>
      <c r="BG408" s="5"/>
    </row>
    <row r="409" spans="17:59" ht="13.9" customHeight="1" x14ac:dyDescent="0.2">
      <c r="Q409" s="23"/>
      <c r="R409" s="238"/>
      <c r="S409" s="99" t="s">
        <v>594</v>
      </c>
      <c r="T409" s="228"/>
      <c r="U409" s="229">
        <f>SUMIFS($Y$403:$Y$405,$W$403:$W$405,S409)</f>
        <v>0</v>
      </c>
      <c r="V409" s="277" t="str">
        <f>IF(ISERROR(U409/$U$415),"--",U409/$U$415)</f>
        <v>--</v>
      </c>
      <c r="W409" s="228"/>
      <c r="X409" s="228"/>
      <c r="Y409" s="228"/>
      <c r="Z409" s="228"/>
      <c r="AA409" s="228"/>
      <c r="AB409" s="228"/>
      <c r="AC409" s="228"/>
      <c r="AD409" s="228"/>
      <c r="AN409" s="22"/>
      <c r="AO409" s="22"/>
      <c r="BF409" s="5"/>
      <c r="BG409" s="5"/>
    </row>
    <row r="410" spans="17:59" ht="13.9" customHeight="1" x14ac:dyDescent="0.2">
      <c r="Q410" s="23"/>
      <c r="R410" s="238"/>
      <c r="S410" s="99" t="s">
        <v>40</v>
      </c>
      <c r="T410" s="228"/>
      <c r="U410" s="229">
        <f>SUMIFS($Y$402:$Y$408,$W$402:$W$408,S410)</f>
        <v>0</v>
      </c>
      <c r="V410" s="277" t="str">
        <f t="shared" ref="V410:V415" si="1">IF(ISERROR(U410/$U$415),"--",U410/$U$415)</f>
        <v>--</v>
      </c>
      <c r="W410" s="228"/>
      <c r="X410" s="228"/>
      <c r="Y410" s="228"/>
      <c r="Z410" s="228"/>
      <c r="AA410" s="228"/>
      <c r="AB410" s="228"/>
      <c r="AC410" s="228"/>
      <c r="AD410" s="228"/>
      <c r="AN410" s="22"/>
      <c r="AO410" s="22"/>
      <c r="BF410" s="5"/>
      <c r="BG410" s="5"/>
    </row>
    <row r="411" spans="17:59" ht="13.9" customHeight="1" x14ac:dyDescent="0.2">
      <c r="Q411" s="23"/>
      <c r="R411" s="238"/>
      <c r="S411" s="99" t="s">
        <v>595</v>
      </c>
      <c r="T411" s="228"/>
      <c r="U411" s="229">
        <f>SUMIFS($Y$402:$Y$408,$W$402:$W$408,S411)</f>
        <v>0</v>
      </c>
      <c r="V411" s="277" t="str">
        <f t="shared" si="1"/>
        <v>--</v>
      </c>
      <c r="W411" s="228"/>
      <c r="X411" s="228"/>
      <c r="Y411" s="228"/>
      <c r="Z411" s="228"/>
      <c r="AA411" s="228"/>
      <c r="AB411" s="228"/>
      <c r="AC411" s="228"/>
      <c r="AD411" s="228"/>
      <c r="AN411" s="22"/>
      <c r="AO411" s="22"/>
      <c r="BF411" s="5"/>
      <c r="BG411" s="5"/>
    </row>
    <row r="412" spans="17:59" ht="13.9" customHeight="1" x14ac:dyDescent="0.2">
      <c r="Q412" s="23"/>
      <c r="R412" s="238"/>
      <c r="S412" s="99" t="s">
        <v>683</v>
      </c>
      <c r="T412" s="228"/>
      <c r="U412" s="229">
        <f>SUMIFS($Y$402:$Y$408,$W$402:$W$408,S412)</f>
        <v>0</v>
      </c>
      <c r="V412" s="277" t="str">
        <f t="shared" si="1"/>
        <v>--</v>
      </c>
      <c r="W412" s="228"/>
      <c r="X412" s="228"/>
      <c r="Y412" s="228"/>
      <c r="Z412" s="228"/>
      <c r="AA412" s="228"/>
      <c r="AB412" s="228"/>
      <c r="AC412" s="228"/>
      <c r="AD412" s="228"/>
      <c r="AN412" s="22"/>
      <c r="AO412" s="22"/>
      <c r="BF412" s="5"/>
      <c r="BG412" s="5"/>
    </row>
    <row r="413" spans="17:59" ht="13.9" customHeight="1" x14ac:dyDescent="0.2">
      <c r="Q413" s="23"/>
      <c r="R413" s="238"/>
      <c r="S413" s="99" t="s">
        <v>600</v>
      </c>
      <c r="T413" s="228"/>
      <c r="U413" s="229">
        <f>SUMIFS($Y$402:$Y$408,$W$402:$W$408,S413)</f>
        <v>0</v>
      </c>
      <c r="V413" s="277" t="str">
        <f t="shared" si="1"/>
        <v>--</v>
      </c>
      <c r="W413" s="228"/>
      <c r="X413" s="228"/>
      <c r="Y413" s="228"/>
      <c r="Z413" s="228"/>
      <c r="AA413" s="228"/>
      <c r="AB413" s="228"/>
      <c r="AC413" s="228"/>
      <c r="AD413" s="228"/>
      <c r="AN413" s="22"/>
      <c r="AO413" s="22"/>
      <c r="BF413" s="5"/>
      <c r="BG413" s="5"/>
    </row>
    <row r="414" spans="17:59" ht="13.9" customHeight="1" x14ac:dyDescent="0.2">
      <c r="Q414" s="23"/>
      <c r="R414" s="238"/>
      <c r="S414" s="99" t="s">
        <v>601</v>
      </c>
      <c r="T414" s="228"/>
      <c r="U414" s="229">
        <f>SUMIFS($Y$402:$Y$408,$W$402:$W$408,S414)</f>
        <v>0</v>
      </c>
      <c r="V414" s="277" t="str">
        <f t="shared" si="1"/>
        <v>--</v>
      </c>
      <c r="W414" s="228"/>
      <c r="X414" s="228"/>
      <c r="Y414" s="228"/>
      <c r="Z414" s="228"/>
      <c r="AA414" s="228"/>
      <c r="AB414" s="228"/>
      <c r="AC414" s="228"/>
      <c r="AD414" s="228"/>
      <c r="AN414" s="22"/>
      <c r="AO414" s="22"/>
      <c r="BF414" s="5"/>
      <c r="BG414" s="5"/>
    </row>
    <row r="415" spans="17:59" ht="13.9" customHeight="1" x14ac:dyDescent="0.2">
      <c r="Q415" s="23"/>
      <c r="R415" s="238"/>
      <c r="S415" s="99" t="s">
        <v>605</v>
      </c>
      <c r="T415" s="228"/>
      <c r="U415" s="229">
        <f>SUM(U409:U414)</f>
        <v>0</v>
      </c>
      <c r="V415" s="277" t="str">
        <f t="shared" si="1"/>
        <v>--</v>
      </c>
      <c r="W415" s="228"/>
      <c r="X415" s="228"/>
      <c r="Y415" s="228"/>
      <c r="Z415" s="228"/>
      <c r="AA415" s="228"/>
      <c r="AB415" s="228"/>
      <c r="AC415" s="228"/>
      <c r="AD415" s="228"/>
      <c r="AN415" s="22"/>
      <c r="AO415" s="22"/>
      <c r="BF415" s="5"/>
      <c r="BG415" s="5"/>
    </row>
    <row r="417" spans="17:59" ht="13.9" customHeight="1" x14ac:dyDescent="0.2">
      <c r="Q417" s="23"/>
      <c r="R417" s="238"/>
      <c r="S417" s="361" t="s">
        <v>686</v>
      </c>
      <c r="T417" s="228"/>
      <c r="U417" s="228"/>
      <c r="V417" s="228"/>
      <c r="W417" s="228"/>
      <c r="X417" s="228"/>
      <c r="Y417" s="228"/>
      <c r="Z417" s="228"/>
      <c r="AA417" s="228"/>
      <c r="AB417" s="228"/>
      <c r="AC417" s="228"/>
      <c r="AD417" s="228"/>
      <c r="AN417" s="22"/>
      <c r="AO417" s="22"/>
      <c r="BF417" s="5"/>
      <c r="BG417" s="5"/>
    </row>
    <row r="419" spans="17:59" ht="13.9" customHeight="1" x14ac:dyDescent="0.2">
      <c r="Q419" s="23"/>
      <c r="R419" s="238"/>
      <c r="S419" s="99" t="s">
        <v>597</v>
      </c>
      <c r="T419" s="228"/>
      <c r="U419" s="228"/>
      <c r="V419" s="228"/>
      <c r="W419" s="228"/>
      <c r="X419" s="229"/>
      <c r="Y419" s="229"/>
      <c r="Z419" s="228"/>
      <c r="AA419" s="228"/>
      <c r="AB419" s="228"/>
      <c r="AC419" s="228"/>
      <c r="AD419" s="228"/>
      <c r="AN419" s="22"/>
      <c r="AO419" s="22"/>
      <c r="BF419" s="5"/>
      <c r="BG419" s="5"/>
    </row>
    <row r="420" spans="17:59" ht="13.9" customHeight="1" x14ac:dyDescent="0.2">
      <c r="Q420" s="23"/>
      <c r="R420" s="238"/>
      <c r="S420" s="99" t="s">
        <v>598</v>
      </c>
      <c r="T420" s="228"/>
      <c r="U420" s="228"/>
      <c r="V420" s="228"/>
      <c r="W420" s="228"/>
      <c r="X420" s="228"/>
      <c r="Y420" s="228" t="s">
        <v>599</v>
      </c>
      <c r="Z420" s="228"/>
      <c r="AA420" s="228"/>
      <c r="AB420" s="228"/>
      <c r="AC420" s="228"/>
      <c r="AD420" s="228"/>
      <c r="AN420" s="22"/>
      <c r="AO420" s="22"/>
      <c r="BF420" s="5"/>
      <c r="BG420" s="5"/>
    </row>
    <row r="421" spans="17:59" ht="13.9" customHeight="1" x14ac:dyDescent="0.2">
      <c r="Q421" s="23"/>
      <c r="R421" s="238"/>
      <c r="S421" s="21"/>
      <c r="T421" s="228"/>
      <c r="U421" s="228"/>
      <c r="V421" s="228"/>
      <c r="W421" s="228"/>
      <c r="X421" s="228"/>
      <c r="Y421" s="228"/>
      <c r="Z421" s="228"/>
      <c r="AA421" s="228"/>
      <c r="AB421" s="228"/>
      <c r="AC421" s="228"/>
      <c r="AD421" s="228"/>
      <c r="AN421" s="22"/>
      <c r="AO421" s="22"/>
      <c r="BF421" s="5"/>
      <c r="BG421" s="5"/>
    </row>
  </sheetData>
  <mergeCells count="1">
    <mergeCell ref="C13:D13"/>
  </mergeCells>
  <pageMargins left="0.70866141732283472" right="0.70866141732283472" top="0.74803149606299213" bottom="0.74803149606299213" header="0.31496062992125984" footer="0.31496062992125984"/>
  <pageSetup paperSize="9" scale="75" orientation="landscape" verticalDpi="0" r:id="rId1"/>
  <headerFooter>
    <oddHeader>&amp;L&amp;"-,Lihavoitu"&amp;12PIIP-laskentatyökalu&amp;RLuontaisen hajoamisen seuranta
Sivu &amp;P/&amp;N</oddHeader>
    <oddFooter>&amp;L&amp;G&amp;R&amp;G</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 id="{6C41E1E0-D73E-4D1F-BE42-EC83B8B72211}">
            <xm:f>$C$54=Pudotusvalikot!$D$68</xm:f>
            <x14:dxf>
              <fill>
                <patternFill>
                  <bgColor theme="2" tint="0.59996337778862885"/>
                </patternFill>
              </fill>
            </x14:dxf>
          </x14:cfRule>
          <xm:sqref>L9</xm:sqref>
        </x14:conditionalFormatting>
        <x14:conditionalFormatting xmlns:xm="http://schemas.microsoft.com/office/excel/2006/main">
          <x14:cfRule type="expression" priority="3" id="{8D4CE1F8-3409-4FA4-A13F-0394392FF8D1}">
            <xm:f>$C$38=Pudotusvalikot!$D$68</xm:f>
            <x14:dxf>
              <fill>
                <patternFill>
                  <bgColor theme="2" tint="0.59996337778862885"/>
                </patternFill>
              </fill>
            </x14:dxf>
          </x14:cfRule>
          <xm:sqref>L11 L13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5080CCC-DB4D-449C-ADAE-0E11689A8EF5}">
          <x14:formula1>
            <xm:f>Pudotusvalikot!$J$3:$J$9</xm:f>
          </x14:formula1>
          <xm:sqref>C13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Ohje ja esittely</vt:lpstr>
      <vt:lpstr>Kohdetiedot ja yhteenveto</vt:lpstr>
      <vt:lpstr>Massanvaihto ja aumakäsittely</vt:lpstr>
      <vt:lpstr>Eristäminen</vt:lpstr>
      <vt:lpstr>Injektoinnit</vt:lpstr>
      <vt:lpstr>Termiset menetelmät</vt:lpstr>
      <vt:lpstr>Huokosilmakäsittely</vt:lpstr>
      <vt:lpstr>Fytoremediaatio</vt:lpstr>
      <vt:lpstr>Luontaisen hajoamisen seuranta</vt:lpstr>
      <vt:lpstr>Materiaalit</vt:lpstr>
      <vt:lpstr>Kalusto</vt:lpstr>
      <vt:lpstr>Muut</vt:lpstr>
      <vt:lpstr>Pudotusvalikot</vt:lpstr>
      <vt:lpstr>Versiohistoria</vt:lpstr>
      <vt:lpstr>Eristäminen!Print_Area</vt:lpstr>
      <vt:lpstr>Fytoremediaatio!Print_Area</vt:lpstr>
      <vt:lpstr>Huokosilmakäsittely!Print_Area</vt:lpstr>
      <vt:lpstr>Injektoinnit!Print_Area</vt:lpstr>
      <vt:lpstr>Kalusto!Print_Area</vt:lpstr>
      <vt:lpstr>'Kohdetiedot ja yhteenveto'!Print_Area</vt:lpstr>
      <vt:lpstr>'Luontaisen hajoamisen seuranta'!Print_Area</vt:lpstr>
      <vt:lpstr>'Massanvaihto ja aumakäsittely'!Print_Area</vt:lpstr>
      <vt:lpstr>Materiaalit!Print_Area</vt:lpstr>
      <vt:lpstr>Pudotusvalikot!Print_Area</vt:lpstr>
      <vt:lpstr>'Termiset menetelmät'!Print_Area</vt:lpstr>
      <vt:lpstr>Eristäminen!Print_Titles</vt:lpstr>
      <vt:lpstr>Fytoremediaatio!Print_Titles</vt:lpstr>
      <vt:lpstr>Huokosilmakäsittely!Print_Titles</vt:lpstr>
      <vt:lpstr>'Luontaisen hajoamisen seuranta'!Print_Titles</vt:lpstr>
      <vt:lpstr>'Massanvaihto ja aumakäsittely'!Print_Titles</vt:lpstr>
      <vt:lpstr>'Termiset menetelmät'!Print_Titles</vt:lpstr>
    </vt:vector>
  </TitlesOfParts>
  <Company>KL FCG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Pöyry, Emilia</dc:creator>
  <cp:lastModifiedBy>Pöyry, Emilia</cp:lastModifiedBy>
  <dcterms:created xsi:type="dcterms:W3CDTF">2023-06-12T08:45:58Z</dcterms:created>
  <dcterms:modified xsi:type="dcterms:W3CDTF">2025-02-18T10:36:26Z</dcterms:modified>
</cp:coreProperties>
</file>